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Z:\Applications\2025 Active\Refrigeration\"/>
    </mc:Choice>
  </mc:AlternateContent>
  <xr:revisionPtr revIDLastSave="0" documentId="8_{283E2AF7-22E4-40DA-ADA9-92AF9FDCF6BF}" xr6:coauthVersionLast="47" xr6:coauthVersionMax="47" xr10:uidLastSave="{00000000-0000-0000-0000-000000000000}"/>
  <workbookProtection workbookAlgorithmName="SHA-512" workbookHashValue="2MtJOh4OEs28TSsW6ZCppd579pfV69aeBH8vi1E99FYvU1xH6h1S7oasLf5MBU1zgyO96BB1xkwa+cfI34usdw==" workbookSaltValue="lIi6HHpZvaA/aN/aU9+D5A==" workbookSpinCount="100000" lockStructure="1"/>
  <bookViews>
    <workbookView xWindow="28680" yWindow="15" windowWidth="29040" windowHeight="15840" firstSheet="3" activeTab="3" xr2:uid="{00000000-000D-0000-FFFF-FFFF00000000}"/>
  </bookViews>
  <sheets>
    <sheet name="References" sheetId="1" state="veryHidden" r:id="rId1"/>
    <sheet name="Development" sheetId="2" state="veryHidden" r:id="rId2"/>
    <sheet name="ProposedEquipment0" sheetId="26" state="hidden" r:id="rId3"/>
    <sheet name="Customer Information" sheetId="3" r:id="rId4"/>
    <sheet name="Terms and Conditions" sheetId="4" r:id="rId5"/>
    <sheet name="Guidelines" sheetId="5" r:id="rId6"/>
    <sheet name="Required Documents" sheetId="6" r:id="rId7"/>
    <sheet name="Worksheet" sheetId="13" r:id="rId8"/>
    <sheet name="Inspection" sheetId="34" state="veryHidden" r:id="rId9"/>
  </sheets>
  <externalReferences>
    <externalReference r:id="rId10"/>
    <externalReference r:id="rId11"/>
  </externalReferences>
  <definedNames>
    <definedName name="ACReplacement">References!#REF!</definedName>
    <definedName name="ANtiSweat_Controlled">References!$G$45:$G$48</definedName>
    <definedName name="as">References!$O$95</definedName>
    <definedName name="Blddg_Type">References!$B$49:$B$61</definedName>
    <definedName name="Bldg_Type">References!$B$49:$B$61</definedName>
    <definedName name="Building_Type">References!$B$8:$B$20</definedName>
    <definedName name="Chiller">References!#REF!</definedName>
    <definedName name="Chiller_Tab">References!#REF!</definedName>
    <definedName name="Chiller_Type" localSheetId="8">#REF!,#REF!</definedName>
    <definedName name="Chiller_Type">#REF!,#REF!</definedName>
    <definedName name="CompressedAir">References!#REF!</definedName>
    <definedName name="CompressedAir_Tab">References!#REF!</definedName>
    <definedName name="CoolRoof">References!#REF!</definedName>
    <definedName name="CoolRoof_Tab">References!#REF!</definedName>
    <definedName name="Custom">References!#REF!</definedName>
    <definedName name="Custom_Tab">References!#REF!</definedName>
    <definedName name="DAC">References!$B$37:$B$39</definedName>
    <definedName name="EB_NC">References!$B$32:$B$33</definedName>
    <definedName name="EvapFan_CaseType">References!$G$8:$G$9</definedName>
    <definedName name="EvapFan_MotorType">References!$I$8:$I$9</definedName>
    <definedName name="ExtraRows" localSheetId="8">'[1]Customer Inputs'!#REF!</definedName>
    <definedName name="Floating_System_Type">References!$K$20:$K$35</definedName>
    <definedName name="HVAC">References!#REF!</definedName>
    <definedName name="HVAC_Tab">References!#REF!</definedName>
    <definedName name="Import_EB">ProposedEquipment0!$A$1:$AX$79</definedName>
    <definedName name="KitchenVending">References!#REF!</definedName>
    <definedName name="KitchenVending_Tab">References!#REF!</definedName>
    <definedName name="LEED">References!#REF!</definedName>
    <definedName name="LEED_Tab">References!#REF!</definedName>
    <definedName name="LEEDCI">References!#REF!</definedName>
    <definedName name="LEEDCI_Tab">References!#REF!</definedName>
    <definedName name="LEEDEBOM">References!#REF!</definedName>
    <definedName name="LEEDEBOM_Tab">References!#REF!</definedName>
    <definedName name="NewLighting">References!#REF!</definedName>
    <definedName name="NewLighting_Tab">References!#REF!</definedName>
    <definedName name="OLE_LINK1" localSheetId="3">'Customer Information'!#REF!</definedName>
    <definedName name="Org_Type">References!$B$25:$B$29</definedName>
    <definedName name="_xlnm.Print_Area" localSheetId="3">'Customer Information'!$A$1:$L$48</definedName>
    <definedName name="_xlnm.Print_Area" localSheetId="5">Guidelines!$A$1:$L$58</definedName>
    <definedName name="_xlnm.Print_Area" localSheetId="8">Inspection!$A$1:$M$41</definedName>
    <definedName name="_xlnm.Print_Area" localSheetId="6">'Required Documents'!$A$1:$P$40</definedName>
    <definedName name="_xlnm.Print_Area" localSheetId="4">'Terms and Conditions'!$A$1:$T$79</definedName>
    <definedName name="_xlnm.Print_Area" localSheetId="7">Worksheet!$A$1:$Z$61</definedName>
    <definedName name="Project_Type">References!$B$32:$B$34</definedName>
    <definedName name="Rebate_Payment">References!$B$42:$B$44</definedName>
    <definedName name="Refrigeration">References!#REF!</definedName>
    <definedName name="Refrigeration_Tab">References!$A$4</definedName>
    <definedName name="RetrofitLEDLighting_Tab">References!#REF!</definedName>
    <definedName name="RetrofitLighting">References!#REF!</definedName>
    <definedName name="RetrofitLighting_Tab">References!#REF!</definedName>
    <definedName name="Start_Baseline_Code">References!#REF!</definedName>
    <definedName name="Start_VFD_HP">References!#REF!</definedName>
    <definedName name="System_Type_IceMaker">References!$G$56:$L$56</definedName>
    <definedName name="TandC_Tab" localSheetId="8">References!#REF!</definedName>
    <definedName name="TandC_Tab">References!#REF!</definedName>
    <definedName name="ThermalStorage">References!#REF!</definedName>
    <definedName name="ThermalStorage_Tab">References!#REF!</definedName>
    <definedName name="Unit_Data">#REF!</definedName>
    <definedName name="Unit_Data2">#REF!</definedName>
    <definedName name="VFD">References!#REF!</definedName>
    <definedName name="VFD_HP">OFFSET(References!$F$12,0,References!$F$4,OFFSET(References!$F$11,0,References!$F$4,1,1),1)</definedName>
    <definedName name="VFD_Tab">References!$A$5</definedName>
    <definedName name="Z_413575D0_A88C_4EFD_A604_365F28B09173_.wvu.Cols" localSheetId="3" hidden="1">'Customer Information'!$M:$IV</definedName>
    <definedName name="Z_413575D0_A88C_4EFD_A604_365F28B09173_.wvu.Cols" localSheetId="5" hidden="1">Guidelines!$M:$IV</definedName>
    <definedName name="Z_413575D0_A88C_4EFD_A604_365F28B09173_.wvu.Cols" localSheetId="6" hidden="1">'Required Documents'!$H:$IV</definedName>
    <definedName name="Z_413575D0_A88C_4EFD_A604_365F28B09173_.wvu.Cols" localSheetId="4" hidden="1">'Terms and Conditions'!$L:$IV</definedName>
    <definedName name="Z_413575D0_A88C_4EFD_A604_365F28B09173_.wvu.Cols" localSheetId="7" hidden="1">Worksheet!$O:$IW</definedName>
    <definedName name="Z_413575D0_A88C_4EFD_A604_365F28B09173_.wvu.PrintArea" localSheetId="3" hidden="1">'Customer Information'!$A$1:$L$47</definedName>
    <definedName name="Z_413575D0_A88C_4EFD_A604_365F28B09173_.wvu.PrintArea" localSheetId="5" hidden="1">Guidelines!$A$1:$L$45</definedName>
    <definedName name="Z_413575D0_A88C_4EFD_A604_365F28B09173_.wvu.PrintArea" localSheetId="6" hidden="1">[2]Sheet2!#REF!</definedName>
    <definedName name="Z_413575D0_A88C_4EFD_A604_365F28B09173_.wvu.PrintArea" localSheetId="4" hidden="1">'Terms and Conditions'!$A$1:$K$79</definedName>
    <definedName name="Z_413575D0_A88C_4EFD_A604_365F28B09173_.wvu.PrintArea" localSheetId="7" hidden="1">Worksheet!$A$1:$N$60</definedName>
    <definedName name="Z_413575D0_A88C_4EFD_A604_365F28B09173_.wvu.Rows" localSheetId="3" hidden="1">'Customer Information'!$47:$65536,'Customer Information'!$41:$46</definedName>
    <definedName name="Z_413575D0_A88C_4EFD_A604_365F28B09173_.wvu.Rows" localSheetId="5" hidden="1">Guidelines!$52:$65538,Guidelines!$46:$49</definedName>
    <definedName name="Z_413575D0_A88C_4EFD_A604_365F28B09173_.wvu.Rows" localSheetId="6" hidden="1">'Required Documents'!$32:$65536</definedName>
    <definedName name="Z_413575D0_A88C_4EFD_A604_365F28B09173_.wvu.Rows" localSheetId="4" hidden="1">'Terms and Conditions'!$80:$65536</definedName>
    <definedName name="Z_413575D0_A88C_4EFD_A604_365F28B09173_.wvu.Rows" localSheetId="7" hidden="1">Worksheet!$61:$65536</definedName>
  </definedNames>
  <calcPr calcId="191029"/>
  <customWorkbookViews>
    <customWorkbookView name="Keith Molloy - Personal View" guid="{413575D0-A88C-4EFD-A604-365F28B09173}" mergeInterval="0" personalView="1" maximized="1" xWindow="1" yWindow="1" windowWidth="1680" windowHeight="774" tabRatio="920"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3" l="1"/>
  <c r="M28" i="13"/>
  <c r="M29" i="13"/>
  <c r="M30" i="13"/>
  <c r="M27" i="13"/>
  <c r="M22" i="13"/>
  <c r="M20" i="13"/>
  <c r="M10" i="13"/>
  <c r="AA5" i="1"/>
  <c r="AA6" i="1"/>
  <c r="AA7" i="1"/>
  <c r="AA8" i="1"/>
  <c r="AA9" i="1"/>
  <c r="AA10" i="1"/>
  <c r="AA11" i="1"/>
  <c r="AA12" i="1"/>
  <c r="AA13" i="1"/>
  <c r="AA14" i="1"/>
  <c r="AA15" i="1"/>
  <c r="AA16" i="1"/>
  <c r="AA17" i="1"/>
  <c r="AA18" i="1"/>
  <c r="AA19" i="1"/>
  <c r="AA20" i="1"/>
  <c r="AA21" i="1"/>
  <c r="AA22" i="1"/>
  <c r="AA23" i="1"/>
  <c r="AA24" i="1"/>
  <c r="AA25" i="1"/>
  <c r="AA26" i="1"/>
  <c r="AA27" i="1"/>
  <c r="AA28" i="1"/>
  <c r="AA4" i="1"/>
  <c r="M36" i="13" l="1"/>
  <c r="M37" i="13"/>
  <c r="M38" i="13"/>
  <c r="M39" i="13"/>
  <c r="M40" i="13"/>
  <c r="M41" i="13"/>
  <c r="M42" i="13"/>
  <c r="M43" i="13"/>
  <c r="M44" i="13"/>
  <c r="M45" i="13"/>
  <c r="M46" i="13"/>
  <c r="M35" i="13"/>
  <c r="M32" i="13"/>
  <c r="M25" i="13"/>
  <c r="M15" i="13"/>
  <c r="M13" i="13"/>
  <c r="M7" i="13"/>
  <c r="M8" i="13"/>
  <c r="J85" i="1" l="1"/>
  <c r="J86" i="1" s="1"/>
  <c r="H87" i="1"/>
  <c r="K35" i="1" l="1"/>
  <c r="K34" i="1"/>
  <c r="K33" i="1"/>
  <c r="K32" i="1"/>
  <c r="K31" i="1"/>
  <c r="K30" i="1"/>
  <c r="K29" i="1"/>
  <c r="K28" i="1"/>
  <c r="K27" i="1"/>
  <c r="K26" i="1"/>
  <c r="K25" i="1"/>
  <c r="K24" i="1"/>
  <c r="K23" i="1"/>
  <c r="K22" i="1"/>
  <c r="K21" i="1"/>
  <c r="K20" i="1"/>
  <c r="H48" i="1"/>
  <c r="H47" i="1"/>
  <c r="H46" i="1"/>
  <c r="H45" i="1"/>
  <c r="F11" i="13" l="1"/>
  <c r="E19" i="34" l="1"/>
  <c r="C19" i="34"/>
  <c r="C3" i="26"/>
  <c r="E3" i="26" s="1"/>
  <c r="G74" i="1"/>
  <c r="G75" i="1" s="1"/>
  <c r="G76" i="1" s="1"/>
  <c r="G77" i="1" s="1"/>
  <c r="G78" i="1" s="1"/>
  <c r="G79" i="1" s="1"/>
  <c r="E21" i="34"/>
  <c r="E6" i="26"/>
  <c r="AJ6" i="26" s="1"/>
  <c r="D6" i="26"/>
  <c r="C6" i="26"/>
  <c r="H6" i="26" s="1"/>
  <c r="D27" i="26"/>
  <c r="D28" i="26"/>
  <c r="C27" i="26"/>
  <c r="H27" i="26" s="1"/>
  <c r="C28" i="26"/>
  <c r="E44" i="34"/>
  <c r="E43" i="34"/>
  <c r="E42" i="34"/>
  <c r="E41" i="34"/>
  <c r="E40" i="34"/>
  <c r="E39" i="34"/>
  <c r="E38" i="34"/>
  <c r="E37" i="34"/>
  <c r="E36" i="34"/>
  <c r="E35" i="34"/>
  <c r="E34" i="34"/>
  <c r="E33" i="34"/>
  <c r="E32" i="34"/>
  <c r="E31" i="34"/>
  <c r="E30" i="34"/>
  <c r="E29" i="34"/>
  <c r="E28" i="34"/>
  <c r="E18" i="34"/>
  <c r="E25" i="34"/>
  <c r="E23" i="34"/>
  <c r="E27" i="34"/>
  <c r="E20" i="34"/>
  <c r="C45" i="13"/>
  <c r="C46" i="13"/>
  <c r="E28" i="26"/>
  <c r="AI28" i="26" s="1"/>
  <c r="E22" i="34"/>
  <c r="B1" i="13"/>
  <c r="A1" i="2"/>
  <c r="A1" i="5" s="1"/>
  <c r="A1" i="4"/>
  <c r="P56" i="1"/>
  <c r="E5" i="26"/>
  <c r="AJ5" i="26" s="1"/>
  <c r="E24" i="26"/>
  <c r="AJ24" i="26" s="1"/>
  <c r="C18" i="34"/>
  <c r="A2" i="3"/>
  <c r="K78" i="1"/>
  <c r="K77" i="1"/>
  <c r="K76" i="1"/>
  <c r="K79" i="1"/>
  <c r="C21" i="34"/>
  <c r="D5" i="26"/>
  <c r="C5" i="26"/>
  <c r="AD5" i="26" s="1"/>
  <c r="C10" i="34"/>
  <c r="C7" i="34"/>
  <c r="E24" i="34"/>
  <c r="C24" i="34"/>
  <c r="C25" i="34"/>
  <c r="C23" i="34"/>
  <c r="C20" i="34"/>
  <c r="B3" i="34"/>
  <c r="C12" i="34"/>
  <c r="C11" i="34"/>
  <c r="C9" i="34"/>
  <c r="C8" i="34"/>
  <c r="C5" i="34"/>
  <c r="M21" i="13"/>
  <c r="C61" i="13"/>
  <c r="M61" i="13"/>
  <c r="C40" i="6"/>
  <c r="G40" i="6"/>
  <c r="C58" i="5"/>
  <c r="L58" i="5"/>
  <c r="C79" i="4"/>
  <c r="K79" i="4"/>
  <c r="B48" i="3"/>
  <c r="L48" i="3"/>
  <c r="C2" i="26"/>
  <c r="E2" i="26" s="1"/>
  <c r="C4" i="26"/>
  <c r="AD4" i="26" s="1"/>
  <c r="D4" i="26"/>
  <c r="E4" i="26"/>
  <c r="F4" i="26" s="1"/>
  <c r="C7" i="26"/>
  <c r="AD7" i="26" s="1"/>
  <c r="C8" i="26"/>
  <c r="AW8" i="26" s="1"/>
  <c r="C9" i="26"/>
  <c r="D9" i="26" s="1"/>
  <c r="E9" i="26" s="1"/>
  <c r="C26" i="34"/>
  <c r="M23" i="13"/>
  <c r="C10" i="26"/>
  <c r="D10" i="26" s="1"/>
  <c r="E26" i="34"/>
  <c r="E11" i="26"/>
  <c r="AG11" i="26" s="1"/>
  <c r="C11" i="26"/>
  <c r="AD11" i="26" s="1"/>
  <c r="C27" i="34"/>
  <c r="D11" i="26"/>
  <c r="E12" i="26"/>
  <c r="J12" i="26" s="1"/>
  <c r="C12" i="26"/>
  <c r="C28" i="34"/>
  <c r="D12" i="26"/>
  <c r="C29" i="34"/>
  <c r="D13" i="26"/>
  <c r="E13" i="26"/>
  <c r="AJ13" i="26" s="1"/>
  <c r="C13" i="26"/>
  <c r="D14" i="26"/>
  <c r="C14" i="26"/>
  <c r="E14" i="26"/>
  <c r="AG14" i="26" s="1"/>
  <c r="C30" i="34"/>
  <c r="D15" i="26"/>
  <c r="C31" i="34"/>
  <c r="C15" i="26"/>
  <c r="H15" i="26" s="1"/>
  <c r="E15" i="26"/>
  <c r="K15" i="26" s="1"/>
  <c r="D16" i="26"/>
  <c r="C16" i="26"/>
  <c r="H16" i="26" s="1"/>
  <c r="C32" i="34"/>
  <c r="E16" i="26"/>
  <c r="AI16" i="26" s="1"/>
  <c r="D17" i="26"/>
  <c r="C33" i="34"/>
  <c r="C17" i="26"/>
  <c r="H17" i="26" s="1"/>
  <c r="E17" i="26"/>
  <c r="AI17" i="26" s="1"/>
  <c r="D18" i="26"/>
  <c r="E18" i="26"/>
  <c r="G18" i="26" s="1"/>
  <c r="C18" i="26"/>
  <c r="C34" i="34"/>
  <c r="C35" i="34"/>
  <c r="D19" i="26"/>
  <c r="C19" i="26"/>
  <c r="AD19" i="26" s="1"/>
  <c r="E19" i="26"/>
  <c r="F19" i="26" s="1"/>
  <c r="D20" i="26"/>
  <c r="E20" i="26"/>
  <c r="AK20" i="26" s="1"/>
  <c r="C20" i="26"/>
  <c r="C36" i="34"/>
  <c r="E21" i="26"/>
  <c r="AH21" i="26" s="1"/>
  <c r="C37" i="34"/>
  <c r="C21" i="26"/>
  <c r="AD21" i="26" s="1"/>
  <c r="D21" i="26"/>
  <c r="D22" i="26"/>
  <c r="E22" i="26"/>
  <c r="AH22" i="26" s="1"/>
  <c r="C22" i="26"/>
  <c r="H22" i="26" s="1"/>
  <c r="C38" i="34"/>
  <c r="D23" i="26"/>
  <c r="C23" i="26"/>
  <c r="C39" i="34"/>
  <c r="E23" i="26"/>
  <c r="AJ23" i="26" s="1"/>
  <c r="C24" i="26"/>
  <c r="W24" i="26" s="1"/>
  <c r="D24" i="26"/>
  <c r="C40" i="34"/>
  <c r="E25" i="26"/>
  <c r="C41" i="34"/>
  <c r="D25" i="26"/>
  <c r="C25" i="26"/>
  <c r="D26" i="26"/>
  <c r="E26" i="26"/>
  <c r="AG26" i="26" s="1"/>
  <c r="C42" i="34"/>
  <c r="C26" i="26"/>
  <c r="C44" i="34"/>
  <c r="C43" i="34"/>
  <c r="E27" i="26"/>
  <c r="AH27" i="26" s="1"/>
  <c r="P62" i="1"/>
  <c r="AQ10" i="26"/>
  <c r="AK24" i="26"/>
  <c r="G23" i="26" l="1"/>
  <c r="AD6" i="26"/>
  <c r="AJ21" i="26"/>
  <c r="AH23" i="26"/>
  <c r="AG21" i="26"/>
  <c r="AK23" i="26"/>
  <c r="F23" i="26"/>
  <c r="F21" i="26"/>
  <c r="AI21" i="26"/>
  <c r="AA19" i="26"/>
  <c r="H8" i="26"/>
  <c r="AD10" i="26"/>
  <c r="M13" i="26"/>
  <c r="AB10" i="26"/>
  <c r="AE10" i="26" s="1"/>
  <c r="AY10" i="26" s="1"/>
  <c r="H21" i="26"/>
  <c r="AV10" i="26"/>
  <c r="AU10" i="26"/>
  <c r="AB8" i="26"/>
  <c r="AE8" i="26" s="1"/>
  <c r="AY8" i="26" s="1"/>
  <c r="AW10" i="26"/>
  <c r="AK5" i="26"/>
  <c r="H10" i="26"/>
  <c r="AD15" i="26"/>
  <c r="G22" i="26"/>
  <c r="U18" i="26"/>
  <c r="L12" i="26"/>
  <c r="G15" i="26"/>
  <c r="AK12" i="26"/>
  <c r="H9" i="26"/>
  <c r="AH19" i="26"/>
  <c r="AD22" i="26"/>
  <c r="AH28" i="26"/>
  <c r="AJ28" i="26"/>
  <c r="AJ27" i="26"/>
  <c r="T19" i="26"/>
  <c r="H19" i="26"/>
  <c r="G21" i="26"/>
  <c r="AK21" i="26"/>
  <c r="AD27" i="26"/>
  <c r="AG19" i="26"/>
  <c r="K12" i="26"/>
  <c r="AJ14" i="26"/>
  <c r="AG12" i="26"/>
  <c r="AI12" i="26"/>
  <c r="M12" i="26"/>
  <c r="F12" i="26"/>
  <c r="AK11" i="26"/>
  <c r="AD9" i="26"/>
  <c r="S2" i="26"/>
  <c r="G28" i="26"/>
  <c r="AK28" i="26"/>
  <c r="F28" i="26"/>
  <c r="AG28" i="26"/>
  <c r="AI23" i="26"/>
  <c r="N18" i="26"/>
  <c r="AG18" i="26"/>
  <c r="F18" i="26"/>
  <c r="AK18" i="26"/>
  <c r="F16" i="26"/>
  <c r="AD14" i="26"/>
  <c r="J13" i="26"/>
  <c r="AK13" i="26"/>
  <c r="AH13" i="26"/>
  <c r="L13" i="26"/>
  <c r="G11" i="26"/>
  <c r="AI11" i="26"/>
  <c r="C22" i="34"/>
  <c r="H86" i="1"/>
  <c r="J88" i="1" s="1"/>
  <c r="AC12" i="26" s="1"/>
  <c r="AF12" i="26" s="1"/>
  <c r="AZ12" i="26" s="1"/>
  <c r="H3" i="26"/>
  <c r="D3" i="26"/>
  <c r="D2" i="26"/>
  <c r="AD2" i="26"/>
  <c r="AJ4" i="26"/>
  <c r="AD3" i="26"/>
  <c r="S3" i="26"/>
  <c r="P3" i="26"/>
  <c r="Q3" i="26"/>
  <c r="H2" i="26"/>
  <c r="C13" i="34"/>
  <c r="P63" i="1"/>
  <c r="Q70" i="1"/>
  <c r="P65" i="1"/>
  <c r="Q71" i="1"/>
  <c r="AG6" i="26"/>
  <c r="F6" i="26"/>
  <c r="B1" i="6"/>
  <c r="A1" i="3"/>
  <c r="B1" i="34"/>
  <c r="AG5" i="26"/>
  <c r="P60" i="1"/>
  <c r="Q62" i="1"/>
  <c r="P68" i="1"/>
  <c r="Q60" i="1"/>
  <c r="F5" i="26"/>
  <c r="G16" i="26"/>
  <c r="AQ16" i="26" s="1"/>
  <c r="Q58" i="1"/>
  <c r="P70" i="1"/>
  <c r="Q63" i="1"/>
  <c r="AH4" i="26"/>
  <c r="H5" i="26"/>
  <c r="AH5" i="26"/>
  <c r="Q57" i="1"/>
  <c r="P71" i="1"/>
  <c r="Q68" i="1"/>
  <c r="H11" i="26"/>
  <c r="AJ25" i="26"/>
  <c r="Q66" i="1"/>
  <c r="Q56" i="1"/>
  <c r="P57" i="1"/>
  <c r="AD17" i="26"/>
  <c r="P66" i="1"/>
  <c r="P58" i="1"/>
  <c r="Q65" i="1"/>
  <c r="AG4" i="26"/>
  <c r="AB18" i="26"/>
  <c r="AE18" i="26" s="1"/>
  <c r="AY18" i="26" s="1"/>
  <c r="AH26" i="26"/>
  <c r="F24" i="26"/>
  <c r="G6" i="26"/>
  <c r="AJ16" i="26"/>
  <c r="AH11" i="26"/>
  <c r="Z19" i="26"/>
  <c r="V19" i="26"/>
  <c r="AH18" i="26"/>
  <c r="AI18" i="26"/>
  <c r="AH24" i="26"/>
  <c r="AI6" i="26"/>
  <c r="O16" i="26"/>
  <c r="G24" i="26"/>
  <c r="H7" i="26"/>
  <c r="S19" i="26"/>
  <c r="AJ18" i="26"/>
  <c r="AK27" i="26"/>
  <c r="AD24" i="26"/>
  <c r="H18" i="26"/>
  <c r="AG24" i="26"/>
  <c r="F11" i="26"/>
  <c r="AK6" i="26"/>
  <c r="Y19" i="26"/>
  <c r="F26" i="26"/>
  <c r="AD18" i="26"/>
  <c r="H4" i="26"/>
  <c r="G27" i="26"/>
  <c r="AD16" i="26"/>
  <c r="AI20" i="26"/>
  <c r="P18" i="26"/>
  <c r="G26" i="26"/>
  <c r="AQ26" i="26" s="1"/>
  <c r="D7" i="26"/>
  <c r="AK26" i="26"/>
  <c r="AI24" i="26"/>
  <c r="AH6" i="26"/>
  <c r="R2" i="26"/>
  <c r="AG2" i="26"/>
  <c r="AJ2" i="26"/>
  <c r="F2" i="26"/>
  <c r="U17" i="26"/>
  <c r="AD12" i="26"/>
  <c r="H26" i="26"/>
  <c r="Z20" i="26"/>
  <c r="X19" i="26"/>
  <c r="W19" i="26"/>
  <c r="G5" i="26"/>
  <c r="AG23" i="26"/>
  <c r="AD26" i="26"/>
  <c r="Q2" i="26"/>
  <c r="G20" i="26"/>
  <c r="K13" i="26"/>
  <c r="AK4" i="26"/>
  <c r="AG15" i="26"/>
  <c r="F13" i="26"/>
  <c r="AH16" i="26"/>
  <c r="AK19" i="26"/>
  <c r="AJ11" i="26"/>
  <c r="AI4" i="26"/>
  <c r="AJ15" i="26"/>
  <c r="W23" i="26"/>
  <c r="AG22" i="26"/>
  <c r="H28" i="26"/>
  <c r="F14" i="26"/>
  <c r="AH14" i="26"/>
  <c r="AJ22" i="26"/>
  <c r="Y20" i="26"/>
  <c r="AH17" i="26"/>
  <c r="AA20" i="26"/>
  <c r="M14" i="26"/>
  <c r="AK22" i="26"/>
  <c r="H14" i="26"/>
  <c r="AK14" i="26"/>
  <c r="G13" i="26"/>
  <c r="W20" i="26"/>
  <c r="AG13" i="26"/>
  <c r="S20" i="26"/>
  <c r="AI22" i="26"/>
  <c r="AI5" i="26"/>
  <c r="AI13" i="26"/>
  <c r="H12" i="26"/>
  <c r="G4" i="26"/>
  <c r="AJ26" i="26"/>
  <c r="P2" i="26"/>
  <c r="AD20" i="26"/>
  <c r="AD28" i="26"/>
  <c r="AI14" i="26"/>
  <c r="V20" i="26"/>
  <c r="T20" i="26"/>
  <c r="F22" i="26"/>
  <c r="AI26" i="26"/>
  <c r="X20" i="26"/>
  <c r="J14" i="26"/>
  <c r="AH25" i="26"/>
  <c r="AK16" i="26"/>
  <c r="K14" i="26"/>
  <c r="G14" i="26"/>
  <c r="H20" i="26"/>
  <c r="AJ9" i="26"/>
  <c r="G9" i="26"/>
  <c r="F9" i="26"/>
  <c r="AK9" i="26"/>
  <c r="AG9" i="26"/>
  <c r="AH9" i="26"/>
  <c r="AI9" i="26"/>
  <c r="E10" i="26"/>
  <c r="AC10" i="26"/>
  <c r="AF10" i="26" s="1"/>
  <c r="AZ10" i="26" s="1"/>
  <c r="AH3" i="26"/>
  <c r="AJ3" i="26"/>
  <c r="AK3" i="26"/>
  <c r="N3" i="26"/>
  <c r="G3" i="26"/>
  <c r="R3" i="26"/>
  <c r="AG3" i="26"/>
  <c r="F3" i="26"/>
  <c r="AI3" i="26"/>
  <c r="AK25" i="26"/>
  <c r="AG25" i="26"/>
  <c r="G19" i="26"/>
  <c r="G17" i="26"/>
  <c r="AJ20" i="26"/>
  <c r="AI2" i="26"/>
  <c r="N17" i="26"/>
  <c r="AH12" i="26"/>
  <c r="AH15" i="26"/>
  <c r="AB11" i="26"/>
  <c r="AE11" i="26" s="1"/>
  <c r="AY11" i="26" s="1"/>
  <c r="F27" i="26"/>
  <c r="AQ8" i="26"/>
  <c r="AG27" i="26"/>
  <c r="AH20" i="26"/>
  <c r="AD23" i="26"/>
  <c r="L14" i="26"/>
  <c r="D8" i="26"/>
  <c r="L15" i="26"/>
  <c r="F17" i="26"/>
  <c r="AD25" i="26"/>
  <c r="N2" i="26"/>
  <c r="G2" i="26"/>
  <c r="F20" i="26"/>
  <c r="AK17" i="26"/>
  <c r="AJ12" i="26"/>
  <c r="J15" i="26"/>
  <c r="AV8" i="26"/>
  <c r="H23" i="26"/>
  <c r="AD13" i="26"/>
  <c r="AI25" i="26"/>
  <c r="H24" i="26"/>
  <c r="F25" i="26"/>
  <c r="P17" i="26"/>
  <c r="AH2" i="26"/>
  <c r="AK2" i="26"/>
  <c r="AB23" i="26"/>
  <c r="AI27" i="26"/>
  <c r="AI15" i="26"/>
  <c r="F15" i="26"/>
  <c r="H13" i="26"/>
  <c r="AK15" i="26"/>
  <c r="AJ19" i="26"/>
  <c r="H25" i="26"/>
  <c r="AI19" i="26"/>
  <c r="G12" i="26"/>
  <c r="M15" i="26"/>
  <c r="G25" i="26"/>
  <c r="AJ17" i="26"/>
  <c r="AU8" i="26"/>
  <c r="AG20" i="26"/>
  <c r="AD8" i="26"/>
  <c r="AG17" i="26"/>
  <c r="AQ22" i="26" l="1"/>
  <c r="AB20" i="26"/>
  <c r="AE20" i="26" s="1"/>
  <c r="AY20" i="26" s="1"/>
  <c r="AQ23" i="26"/>
  <c r="AW18" i="26"/>
  <c r="AU18" i="26" s="1"/>
  <c r="AB17" i="26"/>
  <c r="AE17" i="26" s="1"/>
  <c r="AY17" i="26" s="1"/>
  <c r="AQ20" i="26"/>
  <c r="AW25" i="26"/>
  <c r="AU25" i="26" s="1"/>
  <c r="AW12" i="26"/>
  <c r="AU12" i="26" s="1"/>
  <c r="AC26" i="26"/>
  <c r="AF26" i="26" s="1"/>
  <c r="AZ26" i="26" s="1"/>
  <c r="AQ9" i="26"/>
  <c r="AC9" i="26"/>
  <c r="AF9" i="26" s="1"/>
  <c r="AZ9" i="26" s="1"/>
  <c r="AC17" i="26"/>
  <c r="AF17" i="26" s="1"/>
  <c r="AZ17" i="26" s="1"/>
  <c r="AC24" i="26"/>
  <c r="AF24" i="26" s="1"/>
  <c r="AZ24" i="26" s="1"/>
  <c r="AL20" i="26"/>
  <c r="AN20" i="26" s="1"/>
  <c r="AP20" i="26" s="1"/>
  <c r="AL17" i="26"/>
  <c r="AN17" i="26" s="1"/>
  <c r="AP17" i="26" s="1"/>
  <c r="AC14" i="26"/>
  <c r="AF14" i="26" s="1"/>
  <c r="AZ14" i="26" s="1"/>
  <c r="AW13" i="26"/>
  <c r="AU13" i="26" s="1"/>
  <c r="AW4" i="26"/>
  <c r="AU4" i="26" s="1"/>
  <c r="I15" i="26"/>
  <c r="AC4" i="26"/>
  <c r="AF4" i="26" s="1"/>
  <c r="AZ4" i="26" s="1"/>
  <c r="AM26" i="26"/>
  <c r="AO26" i="26" s="1"/>
  <c r="AB25" i="26"/>
  <c r="AE25" i="26" s="1"/>
  <c r="AY25" i="26" s="1"/>
  <c r="AQ17" i="26"/>
  <c r="AQ25" i="26"/>
  <c r="AB12" i="26"/>
  <c r="AE12" i="26" s="1"/>
  <c r="AY12" i="26" s="1"/>
  <c r="AQ19" i="26"/>
  <c r="AW22" i="26"/>
  <c r="AU22" i="26" s="1"/>
  <c r="AC20" i="26"/>
  <c r="AF20" i="26" s="1"/>
  <c r="AZ20" i="26" s="1"/>
  <c r="AC19" i="26"/>
  <c r="AF19" i="26" s="1"/>
  <c r="AZ19" i="26" s="1"/>
  <c r="AB13" i="26"/>
  <c r="AE13" i="26" s="1"/>
  <c r="AY13" i="26" s="1"/>
  <c r="AB16" i="26"/>
  <c r="AE16" i="26" s="1"/>
  <c r="AY16" i="26" s="1"/>
  <c r="AW16" i="26"/>
  <c r="AV16" i="26" s="1"/>
  <c r="AC16" i="26"/>
  <c r="AF16" i="26" s="1"/>
  <c r="AZ16" i="26" s="1"/>
  <c r="AQ27" i="26"/>
  <c r="AC11" i="26"/>
  <c r="AF11" i="26" s="1"/>
  <c r="AZ11" i="26" s="1"/>
  <c r="AB26" i="26"/>
  <c r="AE26" i="26" s="1"/>
  <c r="AY26" i="26" s="1"/>
  <c r="AC5" i="26"/>
  <c r="AF5" i="26" s="1"/>
  <c r="AZ5" i="26" s="1"/>
  <c r="AB19" i="26"/>
  <c r="AE19" i="26" s="1"/>
  <c r="AY19" i="26" s="1"/>
  <c r="AW15" i="26"/>
  <c r="AQ15" i="26"/>
  <c r="AB15" i="26"/>
  <c r="AE15" i="26" s="1"/>
  <c r="AY15" i="26" s="1"/>
  <c r="AB21" i="26"/>
  <c r="AQ21" i="26"/>
  <c r="AW21" i="26"/>
  <c r="AW26" i="26"/>
  <c r="AQ12" i="26"/>
  <c r="AQ13" i="26"/>
  <c r="AW20" i="26"/>
  <c r="AW28" i="26"/>
  <c r="AV28" i="26" s="1"/>
  <c r="AQ11" i="26"/>
  <c r="AW27" i="26"/>
  <c r="AV27" i="26" s="1"/>
  <c r="AC15" i="26"/>
  <c r="AF15" i="26" s="1"/>
  <c r="AZ15" i="26" s="1"/>
  <c r="AW23" i="26"/>
  <c r="AU23" i="26" s="1"/>
  <c r="AQ14" i="26"/>
  <c r="AB14" i="26"/>
  <c r="AE14" i="26" s="1"/>
  <c r="AY14" i="26" s="1"/>
  <c r="AQ28" i="26"/>
  <c r="AB22" i="26"/>
  <c r="AE22" i="26" s="1"/>
  <c r="AY22" i="26" s="1"/>
  <c r="AW9" i="26"/>
  <c r="AV9" i="26" s="1"/>
  <c r="AB27" i="26"/>
  <c r="AE27" i="26" s="1"/>
  <c r="AY27" i="26" s="1"/>
  <c r="AC21" i="26"/>
  <c r="AB24" i="26"/>
  <c r="AE24" i="26" s="1"/>
  <c r="AY24" i="26" s="1"/>
  <c r="AB28" i="26"/>
  <c r="AE28" i="26" s="1"/>
  <c r="AY28" i="26" s="1"/>
  <c r="AB9" i="26"/>
  <c r="AE9" i="26" s="1"/>
  <c r="AY9" i="26" s="1"/>
  <c r="AQ18" i="26"/>
  <c r="AC28" i="26"/>
  <c r="AF28" i="26" s="1"/>
  <c r="AZ28" i="26" s="1"/>
  <c r="AC25" i="26"/>
  <c r="AF25" i="26" s="1"/>
  <c r="AZ25" i="26" s="1"/>
  <c r="AW17" i="26"/>
  <c r="AU17" i="26" s="1"/>
  <c r="AL18" i="26"/>
  <c r="AN18" i="26" s="1"/>
  <c r="AP18" i="26" s="1"/>
  <c r="AW19" i="26"/>
  <c r="AV19" i="26" s="1"/>
  <c r="AC18" i="26"/>
  <c r="AC27" i="26"/>
  <c r="AF27" i="26" s="1"/>
  <c r="AZ27" i="26" s="1"/>
  <c r="I4" i="26"/>
  <c r="AC22" i="26"/>
  <c r="AF22" i="26" s="1"/>
  <c r="AZ22" i="26" s="1"/>
  <c r="AW14" i="26"/>
  <c r="AQ24" i="26"/>
  <c r="AW11" i="26"/>
  <c r="AC13" i="26"/>
  <c r="AF13" i="26" s="1"/>
  <c r="AZ13" i="26" s="1"/>
  <c r="AW24" i="26"/>
  <c r="AC23" i="26"/>
  <c r="AF23" i="26" s="1"/>
  <c r="AZ23" i="26" s="1"/>
  <c r="AV25" i="26"/>
  <c r="AE23" i="26"/>
  <c r="AY23" i="26" s="1"/>
  <c r="AL23" i="26"/>
  <c r="AN23" i="26" s="1"/>
  <c r="AP23" i="26" s="1"/>
  <c r="AM12" i="26"/>
  <c r="AO12" i="26" s="1"/>
  <c r="AL11" i="26"/>
  <c r="AN11" i="26" s="1"/>
  <c r="AP11" i="26" s="1"/>
  <c r="AM9" i="26"/>
  <c r="AO9" i="26" s="1"/>
  <c r="I5" i="26"/>
  <c r="I18" i="26"/>
  <c r="I16" i="26"/>
  <c r="AC2" i="26"/>
  <c r="AF2" i="26" s="1"/>
  <c r="AZ2" i="26" s="1"/>
  <c r="I22" i="26"/>
  <c r="I13" i="26"/>
  <c r="AB6" i="26"/>
  <c r="AE6" i="26" s="1"/>
  <c r="AY6" i="26" s="1"/>
  <c r="AB3" i="26"/>
  <c r="AE3" i="26" s="1"/>
  <c r="AY3" i="26" s="1"/>
  <c r="I25" i="26"/>
  <c r="I19" i="26"/>
  <c r="I9" i="26"/>
  <c r="I26" i="26"/>
  <c r="AQ5" i="26"/>
  <c r="I6" i="26"/>
  <c r="AB5" i="26"/>
  <c r="AE5" i="26" s="1"/>
  <c r="AY5" i="26" s="1"/>
  <c r="AW2" i="26"/>
  <c r="AV2" i="26" s="1"/>
  <c r="AQ6" i="26"/>
  <c r="AW3" i="26"/>
  <c r="AU3" i="26" s="1"/>
  <c r="I20" i="26"/>
  <c r="I17" i="26"/>
  <c r="I12" i="26"/>
  <c r="AQ2" i="26"/>
  <c r="I2" i="26"/>
  <c r="I3" i="26"/>
  <c r="AW5" i="26"/>
  <c r="AV5" i="26" s="1"/>
  <c r="AC6" i="26"/>
  <c r="AM6" i="26" s="1"/>
  <c r="AO6" i="26" s="1"/>
  <c r="AW6" i="26"/>
  <c r="AU6" i="26" s="1"/>
  <c r="AC3" i="26"/>
  <c r="AF3" i="26" s="1"/>
  <c r="AZ3" i="26" s="1"/>
  <c r="I24" i="26"/>
  <c r="I11" i="26"/>
  <c r="I23" i="26"/>
  <c r="I27" i="26"/>
  <c r="I14" i="26"/>
  <c r="I28" i="26"/>
  <c r="I21" i="26"/>
  <c r="AB2" i="26"/>
  <c r="AE2" i="26" s="1"/>
  <c r="AY2" i="26" s="1"/>
  <c r="AQ3" i="26"/>
  <c r="M47" i="13"/>
  <c r="AQ4" i="26"/>
  <c r="AB4" i="26"/>
  <c r="AE4" i="26" s="1"/>
  <c r="AY4" i="26" s="1"/>
  <c r="E7" i="26"/>
  <c r="AC7" i="26" s="1"/>
  <c r="AF7" i="26" s="1"/>
  <c r="AZ7" i="26" s="1"/>
  <c r="AH10" i="26"/>
  <c r="AK10" i="26"/>
  <c r="AG10" i="26"/>
  <c r="G10" i="26"/>
  <c r="F10" i="26"/>
  <c r="AO10" i="26"/>
  <c r="I10" i="26"/>
  <c r="AM10" i="26"/>
  <c r="AI10" i="26"/>
  <c r="AL10" i="26"/>
  <c r="AJ10" i="26"/>
  <c r="AN10" i="26"/>
  <c r="AP10" i="26" s="1"/>
  <c r="AC8" i="26"/>
  <c r="AF8" i="26" s="1"/>
  <c r="AZ8" i="26" s="1"/>
  <c r="E8" i="26"/>
  <c r="AV18" i="26" l="1"/>
  <c r="AV12" i="26"/>
  <c r="AM24" i="26"/>
  <c r="AO24" i="26" s="1"/>
  <c r="AM19" i="26"/>
  <c r="AO19" i="26" s="1"/>
  <c r="AM4" i="26"/>
  <c r="AO4" i="26" s="1"/>
  <c r="AM17" i="26"/>
  <c r="AO17" i="26" s="1"/>
  <c r="AV13" i="26"/>
  <c r="AL27" i="26"/>
  <c r="AN27" i="26" s="1"/>
  <c r="AP27" i="26" s="1"/>
  <c r="AL26" i="26"/>
  <c r="AN26" i="26" s="1"/>
  <c r="AP26" i="26" s="1"/>
  <c r="AM22" i="26"/>
  <c r="AO22" i="26" s="1"/>
  <c r="G28" i="3"/>
  <c r="AU28" i="26"/>
  <c r="AL28" i="26"/>
  <c r="AN28" i="26" s="1"/>
  <c r="AP28" i="26" s="1"/>
  <c r="AU27" i="26"/>
  <c r="AL25" i="26"/>
  <c r="AN25" i="26" s="1"/>
  <c r="AP25" i="26" s="1"/>
  <c r="AM25" i="26"/>
  <c r="AO25" i="26" s="1"/>
  <c r="AL24" i="26"/>
  <c r="AN24" i="26" s="1"/>
  <c r="AP24" i="26" s="1"/>
  <c r="AV23" i="26"/>
  <c r="AV22" i="26"/>
  <c r="AL19" i="26"/>
  <c r="AN19" i="26" s="1"/>
  <c r="AP19" i="26" s="1"/>
  <c r="AM14" i="26"/>
  <c r="AO14" i="26" s="1"/>
  <c r="AM13" i="26"/>
  <c r="AO13" i="26" s="1"/>
  <c r="AM11" i="26"/>
  <c r="AO11" i="26" s="1"/>
  <c r="AL9" i="26"/>
  <c r="AN9" i="26" s="1"/>
  <c r="AP9" i="26" s="1"/>
  <c r="AV4" i="26"/>
  <c r="AF6" i="26"/>
  <c r="AZ6" i="26" s="1"/>
  <c r="AM5" i="26"/>
  <c r="AO5" i="26" s="1"/>
  <c r="AM16" i="26"/>
  <c r="AO16" i="26" s="1"/>
  <c r="AL13" i="26"/>
  <c r="AN13" i="26" s="1"/>
  <c r="AP13" i="26" s="1"/>
  <c r="AL15" i="26"/>
  <c r="AN15" i="26" s="1"/>
  <c r="AP15" i="26" s="1"/>
  <c r="AL16" i="26"/>
  <c r="AN16" i="26" s="1"/>
  <c r="AP16" i="26" s="1"/>
  <c r="AL12" i="26"/>
  <c r="AN12" i="26" s="1"/>
  <c r="AP12" i="26" s="1"/>
  <c r="AU19" i="26"/>
  <c r="AU16" i="26"/>
  <c r="AM20" i="26"/>
  <c r="AO20" i="26" s="1"/>
  <c r="AU14" i="26"/>
  <c r="AV14" i="26"/>
  <c r="AV26" i="26"/>
  <c r="AU26" i="26"/>
  <c r="AV21" i="26"/>
  <c r="AU21" i="26"/>
  <c r="AM27" i="26"/>
  <c r="AO27" i="26" s="1"/>
  <c r="AE21" i="26"/>
  <c r="AY21" i="26" s="1"/>
  <c r="AL21" i="26"/>
  <c r="AN21" i="26" s="1"/>
  <c r="AP21" i="26" s="1"/>
  <c r="AM28" i="26"/>
  <c r="AO28" i="26" s="1"/>
  <c r="AL14" i="26"/>
  <c r="AN14" i="26" s="1"/>
  <c r="AP14" i="26" s="1"/>
  <c r="AV11" i="26"/>
  <c r="AU11" i="26"/>
  <c r="AV15" i="26"/>
  <c r="AU15" i="26"/>
  <c r="AV17" i="26"/>
  <c r="AU9" i="26"/>
  <c r="AL22" i="26"/>
  <c r="AN22" i="26" s="1"/>
  <c r="AP22" i="26" s="1"/>
  <c r="AF18" i="26"/>
  <c r="AZ18" i="26" s="1"/>
  <c r="AM18" i="26"/>
  <c r="AO18" i="26" s="1"/>
  <c r="AM23" i="26"/>
  <c r="AO23" i="26" s="1"/>
  <c r="AV24" i="26"/>
  <c r="AU24" i="26"/>
  <c r="AF21" i="26"/>
  <c r="AZ21" i="26" s="1"/>
  <c r="AM21" i="26"/>
  <c r="AO21" i="26" s="1"/>
  <c r="AU20" i="26"/>
  <c r="AV20" i="26"/>
  <c r="AM15" i="26"/>
  <c r="AO15" i="26" s="1"/>
  <c r="AW7" i="26"/>
  <c r="AB7" i="26"/>
  <c r="AE7" i="26" s="1"/>
  <c r="AY7" i="26" s="1"/>
  <c r="AU5" i="26"/>
  <c r="AM2" i="26"/>
  <c r="AO2" i="26" s="1"/>
  <c r="AU2" i="26"/>
  <c r="AV3" i="26"/>
  <c r="AL3" i="26"/>
  <c r="AN3" i="26" s="1"/>
  <c r="AP3" i="26" s="1"/>
  <c r="AL5" i="26"/>
  <c r="AN5" i="26" s="1"/>
  <c r="AP5" i="26" s="1"/>
  <c r="AV6" i="26"/>
  <c r="AL6" i="26"/>
  <c r="AN6" i="26" s="1"/>
  <c r="AP6" i="26" s="1"/>
  <c r="AM3" i="26"/>
  <c r="AO3" i="26" s="1"/>
  <c r="AL2" i="26"/>
  <c r="AN2" i="26" s="1"/>
  <c r="AP2" i="26" s="1"/>
  <c r="AL4" i="26"/>
  <c r="AN4" i="26" s="1"/>
  <c r="AP4" i="26" s="1"/>
  <c r="AK7" i="26"/>
  <c r="I7" i="26"/>
  <c r="AI7" i="26"/>
  <c r="F7" i="26"/>
  <c r="AG7" i="26"/>
  <c r="G7" i="26"/>
  <c r="AQ7" i="26" s="1"/>
  <c r="AH7" i="26"/>
  <c r="AJ7" i="26"/>
  <c r="AG8" i="26"/>
  <c r="AI8" i="26"/>
  <c r="AO8" i="26"/>
  <c r="AJ8" i="26"/>
  <c r="AK8" i="26"/>
  <c r="AH8" i="26"/>
  <c r="G8" i="26"/>
  <c r="AL8" i="26"/>
  <c r="AN8" i="26"/>
  <c r="AP8" i="26" s="1"/>
  <c r="F8" i="26"/>
  <c r="I8" i="26"/>
  <c r="AM8" i="26"/>
  <c r="G53" i="13" l="1"/>
  <c r="I53" i="13"/>
  <c r="AM7" i="26"/>
  <c r="AO7" i="26" s="1"/>
  <c r="AL7" i="26"/>
  <c r="AN7" i="26" s="1"/>
  <c r="AP7" i="26" s="1"/>
  <c r="AV7" i="26"/>
  <c r="D53" i="13" s="1"/>
  <c r="AU7" i="26"/>
</calcChain>
</file>

<file path=xl/sharedStrings.xml><?xml version="1.0" encoding="utf-8"?>
<sst xmlns="http://schemas.openxmlformats.org/spreadsheetml/2006/main" count="1994" uniqueCount="1095">
  <si>
    <t>Customer Information</t>
  </si>
  <si>
    <t>Account Name:</t>
  </si>
  <si>
    <t>Facility Address:</t>
  </si>
  <si>
    <t>Tax ID #:</t>
  </si>
  <si>
    <t>Rate Code:</t>
  </si>
  <si>
    <t>City:</t>
  </si>
  <si>
    <t>Zip:</t>
  </si>
  <si>
    <t>Contact Name/Title:</t>
  </si>
  <si>
    <t>Business Phone:</t>
  </si>
  <si>
    <t>Cell Phone:</t>
  </si>
  <si>
    <t>Fax:</t>
  </si>
  <si>
    <t>E-Mail Address:</t>
  </si>
  <si>
    <t>DBA:</t>
  </si>
  <si>
    <t>Organization Type:</t>
  </si>
  <si>
    <t>Building Type:</t>
  </si>
  <si>
    <t>Contractor Information</t>
  </si>
  <si>
    <t>Contractor Name:</t>
  </si>
  <si>
    <t>Contractor Address:</t>
  </si>
  <si>
    <t>Rebate</t>
  </si>
  <si>
    <t>Date:</t>
  </si>
  <si>
    <t>Rebate Guidelines</t>
  </si>
  <si>
    <t>Program Requirements/Steps to Participate</t>
  </si>
  <si>
    <r>
      <t>Measure Code</t>
    </r>
    <r>
      <rPr>
        <b/>
        <i/>
        <sz val="10"/>
        <rFont val="Arial"/>
        <family val="2"/>
      </rPr>
      <t/>
    </r>
  </si>
  <si>
    <t>Eligibility Criteria</t>
  </si>
  <si>
    <t>Sample Photo</t>
  </si>
  <si>
    <t>Refrigerated Case Lighting</t>
  </si>
  <si>
    <t>Rebate Processing</t>
  </si>
  <si>
    <t>Any hard copy documents provided by Customer must be scanned and uploaded by Project Manager</t>
  </si>
  <si>
    <t>Customer</t>
  </si>
  <si>
    <t>Once Project is Complete:</t>
  </si>
  <si>
    <t>Document:</t>
  </si>
  <si>
    <t>Customer Name:
(Print)</t>
  </si>
  <si>
    <t>Total $</t>
  </si>
  <si>
    <t>Deliverable Timeline</t>
  </si>
  <si>
    <t>Pre-Installation</t>
  </si>
  <si>
    <t>Post-Installation</t>
  </si>
  <si>
    <t>Submit required documents (see Required Documents Check sheet)</t>
  </si>
  <si>
    <r>
      <t>o</t>
    </r>
    <r>
      <rPr>
        <sz val="7"/>
        <color indexed="8"/>
        <rFont val="Arial Narrow"/>
        <family val="2"/>
      </rPr>
      <t xml:space="preserve">  </t>
    </r>
    <r>
      <rPr>
        <sz val="12"/>
        <color indexed="8"/>
        <rFont val="Arial Narrow"/>
        <family val="2"/>
      </rPr>
      <t>Verified by:</t>
    </r>
  </si>
  <si>
    <r>
      <t>o</t>
    </r>
    <r>
      <rPr>
        <sz val="7"/>
        <color indexed="8"/>
        <rFont val="Arial Narrow"/>
        <family val="2"/>
      </rPr>
      <t xml:space="preserve">  </t>
    </r>
    <r>
      <rPr>
        <sz val="12"/>
        <color indexed="8"/>
        <rFont val="Arial Narrow"/>
        <family val="2"/>
      </rPr>
      <t>Submitted and authorized by:</t>
    </r>
  </si>
  <si>
    <t>CF</t>
  </si>
  <si>
    <t>Qty.</t>
  </si>
  <si>
    <t xml:space="preserve"> </t>
  </si>
  <si>
    <t>Total Rebate Amount:</t>
  </si>
  <si>
    <t>Description</t>
  </si>
  <si>
    <t>Evaporator Fan Control</t>
  </si>
  <si>
    <t>Electronically Commutated Motors [ECM]</t>
  </si>
  <si>
    <t>R300</t>
  </si>
  <si>
    <t>ECM in Display Case</t>
  </si>
  <si>
    <t>R500</t>
  </si>
  <si>
    <t>Responsible Party</t>
  </si>
  <si>
    <t>*</t>
  </si>
  <si>
    <r>
      <t xml:space="preserve">Building Size </t>
    </r>
    <r>
      <rPr>
        <b/>
        <sz val="8"/>
        <color indexed="8"/>
        <rFont val="Arial Narrow"/>
        <family val="2"/>
      </rPr>
      <t>(ft</t>
    </r>
    <r>
      <rPr>
        <b/>
        <vertAlign val="superscript"/>
        <sz val="8"/>
        <color indexed="8"/>
        <rFont val="Arial Narrow"/>
        <family val="2"/>
      </rPr>
      <t>2</t>
    </r>
    <r>
      <rPr>
        <b/>
        <sz val="8"/>
        <color indexed="8"/>
        <rFont val="Arial Narrow"/>
        <family val="2"/>
      </rPr>
      <t>)</t>
    </r>
    <r>
      <rPr>
        <b/>
        <sz val="11"/>
        <color indexed="8"/>
        <rFont val="Arial Narrow"/>
        <family val="2"/>
      </rPr>
      <t>:</t>
    </r>
  </si>
  <si>
    <t>Roll Out</t>
  </si>
  <si>
    <t>Version Number</t>
  </si>
  <si>
    <t>Date</t>
  </si>
  <si>
    <t>a)</t>
  </si>
  <si>
    <t>b)</t>
  </si>
  <si>
    <t>c)</t>
  </si>
  <si>
    <t>All ECMs must be new equipment and installed by licensed contractors where required by code and/or law.</t>
  </si>
  <si>
    <t>1. Rebates</t>
  </si>
  <si>
    <t>2. Customer Eligibility</t>
  </si>
  <si>
    <t>3. Pre-Approval and Pre-Installation Survey</t>
  </si>
  <si>
    <t>4. Post-Installation Verification</t>
  </si>
  <si>
    <t>5. Customer Application and Analysis</t>
  </si>
  <si>
    <t>d)</t>
  </si>
  <si>
    <t>e)</t>
  </si>
  <si>
    <t>f)</t>
  </si>
  <si>
    <t>g)</t>
  </si>
  <si>
    <t>6. Site-Specific Custom Measures</t>
  </si>
  <si>
    <t>7. Rebate Amounts</t>
  </si>
  <si>
    <t>Title to all of the equipment purchased under this agreement shall rest with the Customer.</t>
  </si>
  <si>
    <t xml:space="preserve">8. ECM and Installation Proof of Payment  </t>
  </si>
  <si>
    <t>Customers who install energy-efficient lighting ECMs are expected to replace any of the energy-efficient lights that burn out with lights of similar or superior energy savings efficiency at the Customer’s expense.</t>
  </si>
  <si>
    <t>9. Installation Service Costs Recognized</t>
  </si>
  <si>
    <t>10. Contractor Shared Savings Arrangements</t>
  </si>
  <si>
    <t>11. Date of Rebate Payments</t>
  </si>
  <si>
    <t>12. Replacement of Burn-Outs</t>
  </si>
  <si>
    <t>13. Monitoring and Evaluation Follow-up Visits</t>
  </si>
  <si>
    <t>14. Limited Scope of Review</t>
  </si>
  <si>
    <t>The Customer may direct that rebates be paid directly to the Customer’s contractor.  This request must be made expressly in writing.</t>
  </si>
  <si>
    <t>15. Changes in the Program</t>
  </si>
  <si>
    <t>16. Payments Assignable to Contractors</t>
  </si>
  <si>
    <t>17. Publicity of Customer Participation</t>
  </si>
  <si>
    <t>18. Installation Schedule Requirements</t>
  </si>
  <si>
    <t>19. Limitation of Liability and Indemnification</t>
  </si>
  <si>
    <t>20. No Warranties</t>
  </si>
  <si>
    <t xml:space="preserve">The benefits conferred upon the Customer through participation in this program may be taxable by the federal, state, and local government.  The Customer is responsible for declaring any benefits and paying any associated  taxes.   </t>
  </si>
  <si>
    <t>It is the Customer’s responsibility to select a vendor to perform the work indicated on the Customer’s Application.</t>
  </si>
  <si>
    <t>23. Vendor Selection</t>
  </si>
  <si>
    <t>22. Pre-Approval Letter</t>
  </si>
  <si>
    <t>21. Customer Must Pay All Taxes</t>
  </si>
  <si>
    <t>24. Removal of Equipment</t>
  </si>
  <si>
    <t xml:space="preserve">If any provision of the Terms and Conditions is deemed invalid by any court or administrative body having jurisdiction, such ruling shall not invalidate any other provision, and the remaining Terms and Conditions shall remain in full force and effect in accordance with their terms.  </t>
  </si>
  <si>
    <t>25. Miscellaneous</t>
  </si>
  <si>
    <r>
      <t xml:space="preserve">Completed Customer Information section of application and appropriate worksheets.  </t>
    </r>
    <r>
      <rPr>
        <sz val="11"/>
        <color indexed="8"/>
        <rFont val="Arial Narrow"/>
        <family val="2"/>
      </rPr>
      <t>(Incomplete applications will not be accepted)</t>
    </r>
  </si>
  <si>
    <r>
      <rPr>
        <b/>
        <sz val="11"/>
        <color indexed="8"/>
        <rFont val="Arial Narrow"/>
        <family val="2"/>
      </rPr>
      <t>AFTER you receive your Pre-Approval Letter</t>
    </r>
    <r>
      <rPr>
        <sz val="11"/>
        <color indexed="8"/>
        <rFont val="Arial Narrow"/>
        <family val="2"/>
      </rPr>
      <t xml:space="preserve">, complete the project. </t>
    </r>
  </si>
  <si>
    <t xml:space="preserve">For Electronic Submissions e-mail documents to:  </t>
  </si>
  <si>
    <t>R300-N</t>
  </si>
  <si>
    <t>R310</t>
  </si>
  <si>
    <t>R310-N</t>
  </si>
  <si>
    <r>
      <t xml:space="preserve">Mailing Address:
</t>
    </r>
    <r>
      <rPr>
        <b/>
        <sz val="9"/>
        <color indexed="8"/>
        <rFont val="Arial Narrow"/>
        <family val="2"/>
      </rPr>
      <t>(If different than above)</t>
    </r>
  </si>
  <si>
    <t>Refrigerated Case Door Heater Controls</t>
  </si>
  <si>
    <t>Each required document must be a separate file (no zipped files)</t>
  </si>
  <si>
    <t>Add sensors to Lighting Eligibility Table</t>
  </si>
  <si>
    <t>Set Radio Buttons to Blank</t>
  </si>
  <si>
    <t>Set Default Cursor location on Customer Information tab to Top Header</t>
  </si>
  <si>
    <t>Set Default Cursor location on other tabs to A1</t>
  </si>
  <si>
    <t>Edited 'Assigning Rebate' checkbox to conform to NC Application</t>
  </si>
  <si>
    <t>Edited Organization Type layout</t>
  </si>
  <si>
    <t>Edited HVAC Eligibility Table from 12.0 SEER to 10.4 EER for Room AC</t>
  </si>
  <si>
    <t>Revised Version to 1.1</t>
  </si>
  <si>
    <t>Rearranged Pre-Inspection on Required Documents tab</t>
  </si>
  <si>
    <t>Added a macro to open instructions when the document is opened.</t>
  </si>
  <si>
    <t>2.15.12</t>
  </si>
  <si>
    <t>Added Incentive calculation formulas in B10 &amp; B11</t>
  </si>
  <si>
    <t>KM</t>
  </si>
  <si>
    <t>Changed G13 from "Baseline" to "Minimum"</t>
  </si>
  <si>
    <t>3.19.12</t>
  </si>
  <si>
    <t>3.28.12</t>
  </si>
  <si>
    <t>1.1.1</t>
  </si>
  <si>
    <t>Corrected calculation error in Chiller worksheet</t>
  </si>
  <si>
    <t xml:space="preserve">PM Initial </t>
  </si>
  <si>
    <t xml:space="preserve"> Final Invoice(s) Match Pre-Approved Amount within 10%</t>
  </si>
  <si>
    <t>3.29.12</t>
  </si>
  <si>
    <t>Updated password</t>
  </si>
  <si>
    <t>Changed names of Application Type Check Boxes</t>
  </si>
  <si>
    <t>SN</t>
  </si>
  <si>
    <t>remove reference to photo inspection in Required Documents tab</t>
  </si>
  <si>
    <t>correct missing formula in cell H14 in refrigeration tab</t>
  </si>
  <si>
    <t>resize row 6 on chiller tab</t>
  </si>
  <si>
    <t>change General Lighting to Lighting</t>
  </si>
  <si>
    <t>revise footnote to read "match preapproved amount" not prescreened in Required Docs. Tab</t>
  </si>
  <si>
    <t>3.27.12</t>
  </si>
  <si>
    <t>Clarify eligibility for Evaporator fan controls and anti-sweat controls that perform more than one function, i.e., Cooltrol</t>
  </si>
  <si>
    <t>Converted LEED sheets from jpegs to usable excel worksheets</t>
  </si>
  <si>
    <t>Updated eligibility text for equipment that qualifies for more than one rebate, General Guidelines and Requirements</t>
  </si>
  <si>
    <t>JR</t>
  </si>
  <si>
    <t>Increased Rebate Levels for Occupancy Sensors</t>
  </si>
  <si>
    <t>KM/SN</t>
  </si>
  <si>
    <t>Reformatted bullets on Terms and Conditions #25</t>
  </si>
  <si>
    <t>add signature/name lines on required documents tab for PM and rebate processing</t>
  </si>
  <si>
    <t xml:space="preserve">       Terms and Conditions</t>
  </si>
  <si>
    <t xml:space="preserve">       Version History</t>
  </si>
  <si>
    <t>add development form Q2 changes document</t>
  </si>
  <si>
    <t xml:space="preserve">Assign unique codes to AC measures, specifically AC retrofit such as ACR100, etc. </t>
  </si>
  <si>
    <t>revise text to identify that multiple rebates are possible for a piece of equipment that qualifies in more than one category</t>
  </si>
  <si>
    <t>protect refrigeration tab</t>
  </si>
  <si>
    <t>update version number (to 1.2) including headers and footers</t>
  </si>
  <si>
    <t>Match the APPLICATION TYPE check boxes across EB and NC, so things that are the same are named the same</t>
  </si>
  <si>
    <t>correct email address on guidelines tab</t>
  </si>
  <si>
    <t>Edit this text "If the proposed equipment fits into more than one category, only one can be selected.  (For example, an applicant can not apply for both AC Retrofit and HVAC) "</t>
  </si>
  <si>
    <t>6.21.12</t>
  </si>
  <si>
    <t>Updated HVAC Elgibility to include Geothermal</t>
  </si>
  <si>
    <t>6.26.12</t>
  </si>
  <si>
    <t>Removed "LIPA Rep", "PM" and "Processed By" from customer information tab</t>
  </si>
  <si>
    <t>Added Lock/Unlock Worksheets buttons</t>
  </si>
  <si>
    <t>6.27.12</t>
  </si>
  <si>
    <t>Revised required documents; edit proof of NFP; Proof of Payment; remove Invoice Verification</t>
  </si>
  <si>
    <t>LED panels added</t>
  </si>
  <si>
    <t>Lighting Controls added</t>
  </si>
  <si>
    <t>Calculations hidden in Chiller worksheet</t>
  </si>
  <si>
    <t>Edited VFD worksheet to display incentive only when all required data has been entered</t>
  </si>
  <si>
    <t>Dragged down drop down menu in Cool Roofs worksheet</t>
  </si>
  <si>
    <t>Corrected conditional formatting in kitchen worksheet</t>
  </si>
  <si>
    <t>7.12.12</t>
  </si>
  <si>
    <t>Corrections made to chiller calculations</t>
  </si>
  <si>
    <t>7.18.12</t>
  </si>
  <si>
    <t>8.1.12</t>
  </si>
  <si>
    <t>Macro changes for lighting checkbox</t>
  </si>
  <si>
    <t>Added LED High Bay category to Lighting eligibility table</t>
  </si>
  <si>
    <t>8.29.12</t>
  </si>
  <si>
    <r>
      <t xml:space="preserve">Changed text from “ECMs must include electrical demand and energy savings (no load shifting; no kWh only savings), must exceed applicable energy code, and must exceed other measure specific performance criteria identified in the Eligibility Tables in this application.”  to “ECMs </t>
    </r>
    <r>
      <rPr>
        <i/>
        <sz val="11"/>
        <rFont val="Calibri"/>
        <family val="2"/>
      </rPr>
      <t>should</t>
    </r>
    <r>
      <rPr>
        <sz val="11"/>
        <rFont val="Calibri"/>
        <family val="2"/>
      </rPr>
      <t xml:space="preserve"> include electrical demand and energy savings, must exceed applicable energy code and </t>
    </r>
    <r>
      <rPr>
        <i/>
        <sz val="11"/>
        <rFont val="Calibri"/>
        <family val="2"/>
      </rPr>
      <t>should</t>
    </r>
    <r>
      <rPr>
        <sz val="11"/>
        <rFont val="Calibri"/>
        <family val="2"/>
      </rPr>
      <t xml:space="preserve"> exceed other measure specific performance criteria identified in the Eligibility Tables in this application.  Measures with no kW savings and that do not exceed performance criteria identified in the Eligibility Tables in this application may result in lower rebates.  </t>
    </r>
  </si>
  <si>
    <t>Added New Lighting to Existing Building eligibility table</t>
  </si>
  <si>
    <t>10.10.12</t>
  </si>
  <si>
    <t>Year</t>
  </si>
  <si>
    <t>Linked Program year in each sheet's header to the program year in the development tab</t>
  </si>
  <si>
    <t>10.11.12</t>
  </si>
  <si>
    <t>Removed LEED selection from Customer Information page</t>
  </si>
  <si>
    <t>10.15.12</t>
  </si>
  <si>
    <t>Added required project start and completion date to Guidelines tab</t>
  </si>
  <si>
    <t>Edited text from "post inspection is required" to "all projects are subject to post insepction" on Guidelines tab</t>
  </si>
  <si>
    <t>Customer/Applicant</t>
  </si>
  <si>
    <t>Edited Responsible Party and last document (post inspection to proof of completion) on Required Documents tab.</t>
  </si>
  <si>
    <t>"-a" for T12 baselines has been removed</t>
  </si>
  <si>
    <t>BR20 &amp; BR30 added to L420 &amp; L430</t>
  </si>
  <si>
    <t>Added text "Replacing an existing sensor is ineligible" to all sensor categories</t>
  </si>
  <si>
    <t>Grayed and locked R100 category from Refrigeration tab, added message directing customer to Lighting worksheet</t>
  </si>
  <si>
    <t>Reviewed and corrected decimal point formatting where necessary</t>
  </si>
  <si>
    <t>Added New Lighting Macro to Lighting eligibility tab</t>
  </si>
  <si>
    <t>10.18.12</t>
  </si>
  <si>
    <t>Updated lighting eligibility tab to reflect current lighting worksheet</t>
  </si>
  <si>
    <t>11.15.12</t>
  </si>
  <si>
    <t>12.16.12</t>
  </si>
  <si>
    <t>edited wording on additional lighting worksheet and removed project start date</t>
  </si>
  <si>
    <t>changed version number to 2.0</t>
  </si>
  <si>
    <t>updated text on lighting eligibility table to match eligibility table in lighting worksheet 2.0</t>
  </si>
  <si>
    <t>4.24.13</t>
  </si>
  <si>
    <t>Increased rebate levels for all HVAC equipment, added "Limited Time…' note to eligibility table.</t>
  </si>
  <si>
    <t>Changed rebate levels on lighitng equipment to match eligibility table in lighting worksheet 2.0</t>
  </si>
  <si>
    <t>4.26.13</t>
  </si>
  <si>
    <t>Added new Chiller tab with new categories, efficiencies and rebate amounts, updated References tab</t>
  </si>
  <si>
    <t>Removed Point of sale footnote from lighting eligibility table</t>
  </si>
  <si>
    <t>4.30.13</t>
  </si>
  <si>
    <t>Efficiency levels in Chiller worksheet have been adjusted</t>
  </si>
  <si>
    <t>5.7.13</t>
  </si>
  <si>
    <t>Effective Date</t>
  </si>
  <si>
    <t>Changed effective date and version number</t>
  </si>
  <si>
    <t>Removed Air Cooled Chiller category</t>
  </si>
  <si>
    <t>8.16.13</t>
  </si>
  <si>
    <t>Removed all Not for Profit references on HVAC tab</t>
  </si>
  <si>
    <t>Removed reference to Stimulus on HVAC tab</t>
  </si>
  <si>
    <t>Changed incentive amounts back to what they were prior to stimulus HVAC tab</t>
  </si>
  <si>
    <t>Changed version number to 1.0, year to 2014 and start date to 10.1.13</t>
  </si>
  <si>
    <t>9.24.13</t>
  </si>
  <si>
    <t>Account No:</t>
  </si>
  <si>
    <t>Removed "LIPA" from entire application</t>
  </si>
  <si>
    <t>Edited Lighting Eligibility table to match retrofit worksheet 2014 v.1.0</t>
  </si>
  <si>
    <t xml:space="preserve">Edited Refrigerated Case Lighting in Refrigerated Equipment table; new lighting on new case in existing building can now use that table. </t>
  </si>
  <si>
    <t>11.27.13</t>
  </si>
  <si>
    <t>Changed color scheme from blue and yellow to black and orange</t>
  </si>
  <si>
    <t>replaced the word "yellow" with "gray" in cases where user is instructed to complete yellow shaded cells</t>
  </si>
  <si>
    <t>12.2.13</t>
  </si>
  <si>
    <t>R100 removed from Refrigeration tab, only R100-N remains</t>
  </si>
  <si>
    <t>Removed reference to Not for profit customers on additional/new lighting sheet</t>
  </si>
  <si>
    <t>Edited text regarding 1 for 1 replacement requirements</t>
  </si>
  <si>
    <t>12.4.13</t>
  </si>
  <si>
    <t>CEPLI@pseg.com</t>
  </si>
  <si>
    <r>
      <t xml:space="preserve">Customer Signature:
</t>
    </r>
    <r>
      <rPr>
        <b/>
        <i/>
        <sz val="8"/>
        <color indexed="8"/>
        <rFont val="Arial Narrow"/>
        <family val="2"/>
      </rPr>
      <t>Duly authorized representative</t>
    </r>
  </si>
  <si>
    <t>01.15.14</t>
  </si>
  <si>
    <t>Added disclaimer to line 32 of the Customer Information tab.</t>
  </si>
  <si>
    <t>kam</t>
  </si>
  <si>
    <t>Before you purchase and install equipment, send the following to PSEG Long Island to receive your Pre-Approval Letter:</t>
  </si>
  <si>
    <t>Added two sentences to Guidelines tab regarding UL listing and installing in accordance to codes and ordinances</t>
  </si>
  <si>
    <t xml:space="preserve">Certification Statement:  
Customer has read, understands and agrees to be bound by the Terms and Conditions set forth herein, and agrees to abide by them.  By participating in this program, Customer agrees on behalf of itself and any successor in interest or assignee that PSEG Long Island obtains and/or retains ownership of all rights to existing and future emission credits, renewable energy rights to existing and future emissions credits, renewable energy green tags, tradable renewable certificates and/or any and all other environmental benefits associated with the installation of the ECMs. Customer certifies that the information provided in the herein is true and accurate.  Customer further certifies that the energy saving products described herein have or will be installed in the facility indicated above and will not be resold.  As specified herein, Customer agrees to permit PSEG Long Island to: (1) verify the purchase invoices and product installations and (2) upon request, install and remove load-monitoring equipment at the facility.  Customer acknowledges that the rights and obligations in this application shall be binding upon assignees, successors and future owners of the facility.  Customer agrees to include restrictions contained in this agreement in any leases, sales, contracts, or other similar documents relating to the use and ownership of the facility.  Customer acknowledge that, consistent with PSEG Long Island’s Efficiency Long Island program policies and procedures, PSEG Long Island may pro-rate a rebate or incentive (the “Rebate”) if the Customer purchases less than its full electric requirements from PSEG Long Island.  Customer further acknowledges that PSEG Long Island may require the Customer to repay all or a portion of the Rebate received if, within five (5) years of receipt of the Rebate, the Customer ceases purchasing its full electric requirements from PSEG Long Island or increases its use of electric power from non-PSEG Long Island sources at the facility, other than through the Long Island Choice Program.
</t>
  </si>
  <si>
    <t>Subject to these Terms and Conditions, PSEG Long Island and/or its subsidiary, the Long Island Lighting Company d/b/a PSEG Long Island (hereinafter referred to individually or collectively as “PSEG Long Island”), will pay rebates to eligible Customers (hereinafter “Customers”) for the installation of Energy Conservation Measures (“ECMs”) listed on PSEG Long Island’s Commercial Efficiency Program (CEP)application forms.</t>
  </si>
  <si>
    <t xml:space="preserve">ECMs are those electric conservation measures identified as such in program materials issued by PSEG Long Island and other site-specific Custom or Whole Building Design Measures that are approved by PSEG Long Island.  The installation of ECMs and other site-specific Custom or Whole Building Design Measures will be referred to as (“Project”) in these Terms and Conditions. </t>
  </si>
  <si>
    <t>The PSEG Long Island Commercial Efficiency Program (“Program”) is available to all non-residential electric customers in the PSEG Long Island “Service Area,” which includes Nassau and Suffolk counties and a portion of Queens County known as the Rockaways.</t>
  </si>
  <si>
    <t>By participating in this Program, Customer agrees that PSEG Long Island obtains and/or retains ownership of all rights to existing and future emissions credits, renewable energy rights to existing and future emissions credits, renewable energy green tags, tradable renewable certificates and/or any and all other environmental benefits associated with the installation of the eligible equipment.</t>
  </si>
  <si>
    <t>PSEG Long Island will not pay any rebates unless PSEG Long Island pre-approves the ECMs proposed by the Customer and completes, to PSEG Long Island’s satisfaction, a pre-installation survey of the Customer’s facilities, unless PSEG Long Island has expressly waived such pre-approval/inspection requirement.</t>
  </si>
  <si>
    <t>PSEG Long Island reserves sole discretion to approve or disapprove of any proposed ECMs.</t>
  </si>
  <si>
    <t>PSEG Long Island will not pay any rebates until it has performed, to PSEG Long Island’s satisfaction a post-installation verification of the installation, unless PSEG Long Island has expressly waived such post-installation verification requirement.  If PSEG Long Island determines that the ECMs were not installed in a manner that is consistent with the purpose of achieving energy savings, or if the installation was not consistent with generally accepted good engineering practices, PSEG Long Island reserves the right to require changes before making any rebate payments.  PSEG Long Island will not pay rebates until it has been verified that the Customer has received, as appropriate, final drawings, operation and maintenance manuals, and operator training.</t>
  </si>
  <si>
    <t xml:space="preserve">In addition to completing the application, the Customer may be required by PSEG Long Island to provide an analysis of the demand and energy reduction potential of the proposed ECMs.  In some cases, a Professional Engineer licensed in the state of New York must prepare the analysis.  Nameplate data may be required at PSEG Long Island’s discretion.  </t>
  </si>
  <si>
    <t>PSEG Long Island may review the Customer’s application and analysis to make an independent determination of the energy saving and demand reduction potential.  PSEG Long Island reserves the right to reject or modify any calculations, based on PSEG Long Island’s own analysis.</t>
  </si>
  <si>
    <t>PSEG Long Island will only approve of those site-specific Custom ECMs that PSEG Long Island believes have cost-effective energy and/or demand reduction potential.  In any case, PSEG Long Island reserves sole discretion to approve or disapprove of payment of rebates for any such proposed ECMs.</t>
  </si>
  <si>
    <t>Before pre-approving any rebate amounts requested by the Customer, PSEG Long Island reserves the right to adjust the rebate amount.</t>
  </si>
  <si>
    <t>Once a rebate amount is pre-approved, PSEG Long Island will pay the customer no more than 70% of the installed cost of the ECM, or the pre-approved rebate amount, whichever is less.</t>
  </si>
  <si>
    <t xml:space="preserve">PSEG Long Island reserves the right to lower the rebate amount if the quantity and/or cost of ECMs actually installed by the Customer differ from the pre-approved amounts.  </t>
  </si>
  <si>
    <t>Notwithstanding any other provision of these Terms and Conditions, PSEG Long Island reserves the right to a refund of any rebates paid if, at any time, it learns that any agreed to ECMs were not actually, or properly installed, or have subsequently been disconnected.</t>
  </si>
  <si>
    <t>Custom Applications – The approved rebate cannot exceed PSEG Long Island’s electric savings benefits, as determined by PSEG Long Island through its analysis of the project</t>
  </si>
  <si>
    <t>PSEG Long Island reserves the right to withhold payment or to award the rebate in the form of a bill credit.  Customers in arrears at the time of rebate payment may not be eligible to receive a rebate.</t>
  </si>
  <si>
    <t xml:space="preserve">The UL classification of Energy Verification Services (EVS) for the appropriate product classification is required.  PSEG Long Island reserves the right to withhold rebate payments for or disqualify any ECM’s that do not carry the Underwriter’s Laboratory (UL) Classification Mark or, with the written consent of PSEG Long Island, an equivalent independent efficiency and product safety certification organization.  </t>
  </si>
  <si>
    <t xml:space="preserve">The Customer must provide copies of all invoices (including itemization of all materials, labor, and equipment discounts) reflecting the costs of purchasing and installing the ECMs.  The invoices shall include a breakdown of all ECMs purchased for installation under the Program.  In addition, PSEG Long Island may require any other reasonable documentation or verification of the cost to the Customer of purchasing and installing the ECM.  PSEG Long Island may require invoices from Customer’s contractor to determine the price paid by the contractor (including any discounts or rebates) for the ECMs.  For custom ECMs, PSEG Long Island reserves the right to use the contractor’s reasonable costs in order to determine the correct rebate amount.  </t>
  </si>
  <si>
    <t xml:space="preserve">PSEG Long Island may require copies of the construction specifications, including relevant ECMs, provided to the construction/installation contractors for certain Projects. PSEG Long Island may refuse to pay rebates if the specifications do not adequately provide for installation of the ECMs consistent with good engineering and energy-efficient design practices.  Customer will, upon request by PSEG Long Island, provide a copy of the as-built drawings and equipment submittals for the facility.  </t>
  </si>
  <si>
    <t>PSEG Long Island will recognize installation costs only to the extent that they are determined by PSEG Long Island to be reasonable and actually incurred by the Customer.</t>
  </si>
  <si>
    <t>If Custom ECMs are being installed by Customer’s contractor under a “shared savings” contract or other situation where the customer’s contract is not based upon the price of installed equipment, PSEG Long Island reserves the right to determine the cost of purchasing and installing the ECMs based on the reasonable retail costs in purchasing the equipment and installing the ECMs.</t>
  </si>
  <si>
    <t xml:space="preserve">PSEG Long Island expects to pay the rebate within sixty (60) days after all of the following conditions are met:  (1) construction/renovation of Customer’s facility is completed; (2) Customer has received an occupancy permit; and (3) PSEG Long Island has verified equipment and installation costs and satisfactory installation of the ECMs, all in accordance with the specifications. (4) All documents required by the application have been received by PSEG Long Island. </t>
  </si>
  <si>
    <t>PSEG Long Island reserves the right to make a reasonable number of installation follow-up visits to Customer’s Facility during the 24 months following the actual completion date noted on this application.  Such visit(s) are not meant to inconvenience the Customer, PSEG Long Island, and the Customer agrees to provide access within a reasonable timeframe of receiving the request for a follow up visit.</t>
  </si>
  <si>
    <t xml:space="preserve">The purpose of the follow-up visit(s) is to provide PSEG Long Island with an opportunity to review the operation of the ECMs for program evaluation purposes.  </t>
  </si>
  <si>
    <t xml:space="preserve">PSEG Long Island is under no obligation to:  (1) make follow-up visits, (2) review the operation of the ECMs, or (3) make any suggestions of any kind to the Customer.  </t>
  </si>
  <si>
    <t>The scope of review by PSEG Long Island of the design and installation of the ECMs is limited solely to determining whether Program conditions have been met.  It does not include any kind of safety review.</t>
  </si>
  <si>
    <t>PSEG Long Island may change the program and the Terms &amp; Conditions at any time without notice.  PSEG Long Island, however, will process pre-approved applications, to completion under the Terms &amp; Conditions in effect at the time of the pre-approval.</t>
  </si>
  <si>
    <t>PSEG Long Island reserves the right, for any reason, to stop pre-approving ECMs at any time without notice.  In particular, PSEG Long Island is not obligated to pre-approve any application for an rebate that may result in PSEG Long Island exceeding its program budget</t>
  </si>
  <si>
    <t>The Program described in the application may be altered, suspended, or canceled by PSEG Long Island at any time without prior notice.  Under such circumstances, the Customer is not entitled to any Program benefits in excess of those approved prior to such action by PSEG Long Island.  Submission of a completed application does not entitle the Customer to program participation.  Entitlement to Program participation can only occur after PSEG Long Island has signed a copy of the application and granted pre-approval</t>
  </si>
  <si>
    <t xml:space="preserve">PSEG Long Island may publicize the Customer’s participation in the Program, the results, the amount of rebates paid to the Customer, and any other information which reasonably relates to the Customer’s participation. </t>
  </si>
  <si>
    <t>Where there is no deadline indicating otherwise on the application, PSEG Long Island may terminate the application and any approved rebate if the Customer is not engaged in installation of the pre-approved ECMs by the end of 180 days from the date PSEG Long Island approves the Customer’s Retrofit application and One year for all Custom applications.</t>
  </si>
  <si>
    <t>PSEG Long Island’s liability is limited to paying the approved rebates. .  Neither PSEG Long Island,  nor its affiliates, subsidiaries, Manager, employees, consultants, agents and contractors (“PSEG Long Island Parties”) shall be liable to the Customer for any consequential or incidental damages or for any damages in tort (including negligence) caused by any activities associated with this application or  the Program.</t>
  </si>
  <si>
    <t>The Customer shall protect, indemnify, and hold harmless PSEG Long Island, and the PSEG Long Island Parties from and against all liabilities, losses, claims, damages, judgments, penalties, causes of action, costs and expenses (including, without limitation, attorney’s fees and expenses) imposed upon or incurred by or assessed against PSEG Long Island, and the PSEG Long Island Parties resulting from, arising out of, or relating to the Program.</t>
  </si>
  <si>
    <t xml:space="preserve">PSEG Long Island does not endorse, guarantee, or warrant any particular manufacturer or product, and PSEG Long Island provides no warranties, expressed or implied, for any product or services.   </t>
  </si>
  <si>
    <t>The Customer acknowledges that neither PSEG Long Island nor any of the PSEG Long Island Parties are responsible for assuring that the design, engineering and construction of Customer’s Project or that the installation of the ECMs is proper or complies with any particular laws (including patent laws), codes, or industry standards.  PSEG Long Island does not make any representations of any kind regarding the results to be achieved by the ECMs or the adequacy or safety of such measures.</t>
  </si>
  <si>
    <t>After an application is approved by PSEG Long Island’s authorized executive, the Customer will receive written notification of the pre-approved rebate amount and the date that the ECMs must be fully installed to qualify for rebate payments.  Any ECMs installed prior to the issuance of PSEG Long Island’s written authorization will be deemed as an unauthorized installation and PSEG Long Island will have no obligation to pay rebates for those ECMs.</t>
  </si>
  <si>
    <t>The Customer agrees, as a condition of participation in the Program, to remove and dispose of all equipment being replaced by the ECMs and further agrees to carry out such removal and disposal in accordance with all laws, rules, and regulations.  The Customer agrees not to reinstall any of this equipment in the Service Area of PSEG Long Island.</t>
  </si>
  <si>
    <t xml:space="preserve">These Terms and Conditions and program requirements outline the conditions under which PSEG Long Island will pay rebates.  These Terms and Conditions are subject to change at PSEG Long Island’s discretion. </t>
  </si>
  <si>
    <t>The Customer’s acceptance of final payment releases PSEG Long Island from all claims and liabilities to the Customer, and its representatives or assigns.</t>
  </si>
  <si>
    <t>PSEG Long Island Project Manager</t>
  </si>
  <si>
    <t>For PSEG Long Island Use Only:</t>
  </si>
  <si>
    <t>Changed "PSEGLI" to "PSEG Long Island" throughout workbook</t>
  </si>
  <si>
    <t>4.9.14</t>
  </si>
  <si>
    <t>5.8.14</t>
  </si>
  <si>
    <t>Updated Lighting Worksheets with Retrofit, Retrofit SSL, and New</t>
  </si>
  <si>
    <t>Removed measure code 10-201 on New Construction Lighting worksheet</t>
  </si>
  <si>
    <t>Added measure codes 10-207, 208, 209, 260, 261 on NC Lighting worksheet</t>
  </si>
  <si>
    <t>Removed "Fluorescent" from controls categories on NC Lighting worksheet</t>
  </si>
  <si>
    <t>Edited text for measures codes 10-220 and 10-230 from “Fluorescent Systems” to “Lighting Systems” on NC Lighting worksheet</t>
  </si>
  <si>
    <t>Removed the word “Fluorescent”  from measure codes 10-236 and 10-237 on NC Lighting worksheet</t>
  </si>
  <si>
    <t>IM</t>
  </si>
  <si>
    <t>6.9.14</t>
  </si>
  <si>
    <t xml:space="preserve">Submit copies of customer validated proof of payment (i.e. itemized invoice) showing the facility address, date and place of purchase and the model/part numbers of installed equipment. </t>
  </si>
  <si>
    <t>08.04.14</t>
  </si>
  <si>
    <t>Edited text to L710 category to allow for CFL replacement</t>
  </si>
  <si>
    <t>Edited text to L740 to allow for 8' replacement</t>
  </si>
  <si>
    <t>10.10.14</t>
  </si>
  <si>
    <t xml:space="preserve">Correct New Lighting LED high bay eligibility criteria.  </t>
  </si>
  <si>
    <t>Added "or other approved equivalent" to line 16 of Guidelines</t>
  </si>
  <si>
    <t>Removed "POS Receipt" from Required Docs</t>
  </si>
  <si>
    <t>Added DLC Category numbers to New LED fixtures</t>
  </si>
  <si>
    <t>Added note that customer must identify model number on cutsheets in required docs tab</t>
  </si>
  <si>
    <t>Added info to proposal on required docs tab and moved item to required for all projects</t>
  </si>
  <si>
    <t>Added rows to each compressor type in compressed air tab</t>
  </si>
  <si>
    <t>ECM in Walk In Cooler</t>
  </si>
  <si>
    <t>Changed language in Refrigeration tab to say "Walk In Cooler" rather than "Case"</t>
  </si>
  <si>
    <t>Added additional eligibility criteria to anti-sweat controls in refrigeration tab</t>
  </si>
  <si>
    <t>Removed hot water pumps from VFD tab</t>
  </si>
  <si>
    <t>Removed line about sizing reactor in VFD tab</t>
  </si>
  <si>
    <t>Changed line 7 to mention manual mode, rather than automatic in VFD tab</t>
  </si>
  <si>
    <t>10.21.14</t>
  </si>
  <si>
    <t>Removed reference to not for profit in required docs</t>
  </si>
  <si>
    <t>Removed references to Air Cooled Chillers</t>
  </si>
  <si>
    <t>I have read and understand the Guidelines listed above.</t>
  </si>
  <si>
    <t>(initials)</t>
  </si>
  <si>
    <t>I have read and understand the information listed above.</t>
  </si>
  <si>
    <t>10.27.14</t>
  </si>
  <si>
    <t>Added box for customer initials to Guidelines and Required Docs tabs</t>
  </si>
  <si>
    <t>Enter Total Estimated Rebate Amount (Calculated on appropriate worksheet):</t>
  </si>
  <si>
    <t>10.31.14</t>
  </si>
  <si>
    <t>Edited language for total estimated rebate</t>
  </si>
  <si>
    <t>Added additional required docs for cool roofs</t>
  </si>
  <si>
    <t>Added footnote to LED lighting tab</t>
  </si>
  <si>
    <t>Added bullet to Refrigerated Case Door Heater on Refrigeration tab</t>
  </si>
  <si>
    <t>Removed vending machines from Refrigeration tab</t>
  </si>
  <si>
    <t>11.06.14</t>
  </si>
  <si>
    <t>For Hardcopy Submissions:  PSEG Long Island CEP, 395 North Service Rd, Suite 409, Melville, NY 11747</t>
  </si>
  <si>
    <t>corrected rebate calculation for compressed air storage</t>
  </si>
  <si>
    <t>added 2- LED lamp replacements, L745</t>
  </si>
  <si>
    <t>added 2- LED linear ambient, L730</t>
  </si>
  <si>
    <t>4.29.15</t>
  </si>
  <si>
    <t>Added text to Eligibility Requirements on LED Eligibility Table "When replacing 8’ existing lamps, a UL category 1598B or 1598C retrofit kit is required"</t>
  </si>
  <si>
    <t xml:space="preserve">Added text to L745 "can not replace a 4’ existing lamp with 2 2’ lamps.  
Replacement of existing 4’ lamps is not eligible"
</t>
  </si>
  <si>
    <t xml:space="preserve">Added text to line 14 of LED Eligibility table"For fixture replacements, the Lighting Retrofit program is designed to be a one for one fixture replacement program.  For any other fixture replacement configurations speak to your PSEG Long Island Representative."
</t>
  </si>
  <si>
    <t>Edited LED Eligibility table to reflect changes made to LR worksheeet 1.3</t>
  </si>
  <si>
    <t>5.18.15</t>
  </si>
  <si>
    <t>Changed version to 1.2</t>
  </si>
  <si>
    <t>Row Number</t>
  </si>
  <si>
    <t>BaseLine Row_ID</t>
  </si>
  <si>
    <t>Product Line</t>
  </si>
  <si>
    <t>Product Class</t>
  </si>
  <si>
    <t>Product Name</t>
  </si>
  <si>
    <t>Measure Code</t>
  </si>
  <si>
    <t>Product Quantity</t>
  </si>
  <si>
    <t>Application ID</t>
  </si>
  <si>
    <t xml:space="preserve">Proposed/Installed Wattage </t>
  </si>
  <si>
    <t>Equipment Cost</t>
  </si>
  <si>
    <t>Labor Cost</t>
  </si>
  <si>
    <t>Total Cost</t>
  </si>
  <si>
    <t>Coincidence Factor</t>
  </si>
  <si>
    <t>Free Ridership</t>
  </si>
  <si>
    <t>Spillover</t>
  </si>
  <si>
    <t>Waste Heat Factor – Demand</t>
  </si>
  <si>
    <t>Waste Heat Factor - Energy</t>
  </si>
  <si>
    <t>Full Load Hours Cool</t>
  </si>
  <si>
    <t>Manufacturer</t>
  </si>
  <si>
    <t>Line Loss kWh</t>
  </si>
  <si>
    <t>Winter Coincidence</t>
  </si>
  <si>
    <t>Incentive Per Unit</t>
  </si>
  <si>
    <t>Hrs of Use</t>
  </si>
  <si>
    <t>Elec Util Cust Incentive</t>
  </si>
  <si>
    <t>Line Loss kW summer</t>
  </si>
  <si>
    <t>Total Net kWh</t>
  </si>
  <si>
    <t>Total Net kW</t>
  </si>
  <si>
    <t>Volume (ft3)</t>
  </si>
  <si>
    <t>Existing Wattage</t>
  </si>
  <si>
    <t>EB Walk In Cooler and Freezer evaporator fan control - R200</t>
  </si>
  <si>
    <t>College</t>
  </si>
  <si>
    <t>Health</t>
  </si>
  <si>
    <t>Retail</t>
  </si>
  <si>
    <t>Restaurant</t>
  </si>
  <si>
    <t>Grocery</t>
  </si>
  <si>
    <t>Manufacturing</t>
  </si>
  <si>
    <t>School</t>
  </si>
  <si>
    <t>Religious</t>
  </si>
  <si>
    <t>Office</t>
  </si>
  <si>
    <t>Warehouse</t>
  </si>
  <si>
    <t>Total Elec Util Cust Incentive</t>
  </si>
  <si>
    <t>EB ECM in Walk In Case - R310</t>
  </si>
  <si>
    <t>EB Anti-Sweat Heater Controls - R400</t>
  </si>
  <si>
    <t>Other/Miscellaneous</t>
  </si>
  <si>
    <t>Building Type</t>
  </si>
  <si>
    <t>Hospitals</t>
  </si>
  <si>
    <t>Hotels/Motels</t>
  </si>
  <si>
    <t>Load Factor</t>
  </si>
  <si>
    <t>$50 per fixture</t>
  </si>
  <si>
    <t>Application Version:</t>
  </si>
  <si>
    <t>Effective:</t>
  </si>
  <si>
    <t>R101</t>
  </si>
  <si>
    <t>Unit</t>
  </si>
  <si>
    <t>Named range on ProposedEquipment tab for all data to be imported into Captures</t>
  </si>
  <si>
    <t>11.25.15</t>
  </si>
  <si>
    <t>1.12.16</t>
  </si>
  <si>
    <t>Reduced rebate amount on all LED measures</t>
  </si>
  <si>
    <t>Verified</t>
  </si>
  <si>
    <t>Comments</t>
  </si>
  <si>
    <t>Model No.</t>
  </si>
  <si>
    <t xml:space="preserve">Account Name : </t>
  </si>
  <si>
    <t xml:space="preserve">Facility Address : </t>
  </si>
  <si>
    <t xml:space="preserve">Contact Name / Title : </t>
  </si>
  <si>
    <t xml:space="preserve">Phone : </t>
  </si>
  <si>
    <t xml:space="preserve">Cell : </t>
  </si>
  <si>
    <t xml:space="preserve">City: </t>
  </si>
  <si>
    <t>Confirmation</t>
  </si>
  <si>
    <t>Inspector Name:</t>
  </si>
  <si>
    <t>Signature :</t>
  </si>
  <si>
    <t>Inspector Company Name:</t>
  </si>
  <si>
    <t>Customer Name:</t>
  </si>
  <si>
    <t>Customer Signature:</t>
  </si>
  <si>
    <t>Location/Designation</t>
  </si>
  <si>
    <t>6.15.16</t>
  </si>
  <si>
    <t>Changed version to 2.0</t>
  </si>
  <si>
    <t>Updated Effective date to 6.20.16</t>
  </si>
  <si>
    <t>Added Inspection forms for all measures</t>
  </si>
  <si>
    <t>Workbook Name</t>
  </si>
  <si>
    <t>Project Type:</t>
  </si>
  <si>
    <t>Project Type</t>
  </si>
  <si>
    <t>Existing Building</t>
  </si>
  <si>
    <t>New Construction</t>
  </si>
  <si>
    <t>Added Data Validation to VFD sheet to limit hp based upon NC or EB selected on Customer Information tab</t>
  </si>
  <si>
    <t>Removed Lighting Eligibility tabs; added message box to Customer Information tab instructing customer to see the website for Lighting Applications</t>
  </si>
  <si>
    <t>Removed HVAC Eligibility tabs; added message box to Customer Information tab instructing customer to see the website for HVAC Applications</t>
  </si>
  <si>
    <t>LPD removed from program</t>
  </si>
  <si>
    <t>Added note to eligibilty on thermal storage and Cool Roofs tabs, New Construction projects are not eligible. Also added conditional formatting to support that, based upon Project Type selected on Customer Information tab.</t>
  </si>
  <si>
    <t>Changed Application name from EB or NC to just Rebate Application</t>
  </si>
  <si>
    <t>Updated Version number and program year</t>
  </si>
  <si>
    <t>11.9.16</t>
  </si>
  <si>
    <t xml:space="preserve">       Guidelines</t>
  </si>
  <si>
    <t xml:space="preserve">        Required Documents Check Sheet          </t>
  </si>
  <si>
    <t>draft1_1.0</t>
  </si>
  <si>
    <t>11.18.16</t>
  </si>
  <si>
    <t>Updated version number. Updated language in C</t>
  </si>
  <si>
    <t>Pre-inspection is required for all buildings. If there is no existing building (vacant lot) pre-inspection will not be required.</t>
  </si>
  <si>
    <t>I have read and understand the terms and conditions detailed above.</t>
  </si>
  <si>
    <t>Updated checkbox macros for HVAC and Lighting to only appear is checked (not unchecked)</t>
  </si>
  <si>
    <t>MVG</t>
  </si>
  <si>
    <t>Update Cool Roof worksheet to get rid of section stating that NC projects are not eligible.  I double checked ASHRAE 90.1-2013 Section 5.5.3.1.1 and IECC 2015 Section C402.3, and this requirement is only for Climate Zones 1-3.  Long Island is in Climate Zone 4.</t>
  </si>
  <si>
    <t>According to the CRRC, there are over 500 products with an initial SRI over 100 (19% of all products).  Also, there are 45 products with a 3-year-aged SRI over 100.  I took off the ceiling of 100 from these columns in the Cool Roof worksheet.</t>
  </si>
  <si>
    <t>Added references in CR Inspect worksheet to pull data from Cool Roof table</t>
  </si>
  <si>
    <t>Added Data Validation to VFD sheet to limit hp based upon NC or EB selected on Customer Information tab (Was not done, although stated in row 138)</t>
  </si>
  <si>
    <t>Added conditional formatting to show only VFD HPs up to 25 HP if New Construction is chosen</t>
  </si>
  <si>
    <t>Changed "Other" building type for cool roofs and VFDs to "Other/Miscellaneous" to stop errors</t>
  </si>
  <si>
    <t>Changed Compressed Air Storage Tanks Compressor Factor in ProposedEquipment0 tab to inlcude 3 gallons/cfm</t>
  </si>
  <si>
    <t>Changed refrigerated dryer savings to zero</t>
  </si>
  <si>
    <t>Changed name of Custom EB tab to just Custom and added verbiage that replacement equipment is for Existing Buildings only</t>
  </si>
  <si>
    <t>12.06.16</t>
  </si>
  <si>
    <t>Added formula to inspection tabs to pull Contact/Title information from Customer Information tab</t>
  </si>
  <si>
    <t>Added to Customer Inputs tab "Click" macros new coding to hide inspection forms if the application type is unclicked.  Also unchecks the inspection form checkbox in the application type tab.</t>
  </si>
  <si>
    <t>12.1.16</t>
  </si>
  <si>
    <t>draft_1.1</t>
  </si>
  <si>
    <t>Removed Chiller and Chiller Inspection tab from workbook</t>
  </si>
  <si>
    <t>Removed Chiller option from "application type" filed on Customer Information tab</t>
  </si>
  <si>
    <t>Changed version to draft_1.1</t>
  </si>
  <si>
    <t>draft_1.2</t>
  </si>
  <si>
    <t>Removed references to Existing Building in "Custom" tab</t>
  </si>
  <si>
    <t>1.6.17</t>
  </si>
  <si>
    <t>1.17.17</t>
  </si>
  <si>
    <t>draft_1.3</t>
  </si>
  <si>
    <t>Updated spelling/grammar errors. Reduced TES rebate to $1000</t>
  </si>
  <si>
    <t>1.24.17</t>
  </si>
  <si>
    <t>Updated version to 1.0 and changed effective date to 1.25.17</t>
  </si>
  <si>
    <t>Pre-approval is required.</t>
  </si>
  <si>
    <t>All projects are subject to Post-inspection.</t>
  </si>
  <si>
    <t>If the proposed equipment is listed in the measure-specific eligibility tables, the rebate amount will be determined according to corresponding worksheet, one of which must be completed for each measure type.</t>
  </si>
  <si>
    <t>Where eligible products are required to be listed with an approved rating agency (i.e. ENERGY STAR, CEE, or other approved equivalent), products must be installed and used in accordance with the rating condition for which it was approved at the time such approval was given.</t>
  </si>
  <si>
    <t xml:space="preserve">All measures must carry the appropriate designated Underwriters Laboratory (UL) or Electrical Testing Laboratory (ETL) label.
</t>
  </si>
  <si>
    <t xml:space="preserve">All installations must be installed in accordance with all applicable local, state and national codes and ordinances.
</t>
  </si>
  <si>
    <t>Measure-specific eligibility requirements and deadlines apply.  See appropriate Eligibility Requirements for each application type.</t>
  </si>
  <si>
    <t>Total rebates will be capped at 70% of total project cost.</t>
  </si>
  <si>
    <r>
      <t xml:space="preserve">If  submitting electronically, applicant must either submit an e-mail in lieu of signature or provide a hard copy with signature </t>
    </r>
    <r>
      <rPr>
        <sz val="10"/>
        <rFont val="Arial Narrow"/>
        <family val="2"/>
      </rPr>
      <t>(</t>
    </r>
    <r>
      <rPr>
        <sz val="11"/>
        <rFont val="Arial Narrow"/>
        <family val="2"/>
      </rPr>
      <t>fax, pdf, printed original, etc.).</t>
    </r>
  </si>
  <si>
    <t>draft_1.0</t>
  </si>
  <si>
    <t>Updated version to draft_1.0</t>
  </si>
  <si>
    <t>Updated Program year to 2018</t>
  </si>
  <si>
    <t>Updated effective date to 1.1.2018</t>
  </si>
  <si>
    <t>9.26.17</t>
  </si>
  <si>
    <t>Type</t>
  </si>
  <si>
    <t>Project ID:</t>
  </si>
  <si>
    <t xml:space="preserve">Project ID : </t>
  </si>
  <si>
    <t>11.09.17</t>
  </si>
  <si>
    <t>Updated "Application ID" to "Project ID" on all inspection forms and application page</t>
  </si>
  <si>
    <t>ED</t>
  </si>
  <si>
    <t>Per Client request: TES tab added "systems"; Cool Roof tab, moved info on rebate amount to Worksheet section (from bold sentence on top)</t>
  </si>
  <si>
    <t>11.13.17</t>
  </si>
  <si>
    <t>11.27.17</t>
  </si>
  <si>
    <t>draft_1.01</t>
  </si>
  <si>
    <t>Removed form requirement for NFP, per Walter Hoefer email to kam 11/27/17</t>
  </si>
  <si>
    <t>R210</t>
  </si>
  <si>
    <t>$10 per linear foot</t>
  </si>
  <si>
    <t>R510</t>
  </si>
  <si>
    <t>R520</t>
  </si>
  <si>
    <t>R530</t>
  </si>
  <si>
    <t>R540</t>
  </si>
  <si>
    <t>* Must be ENERGY STAR-certified</t>
  </si>
  <si>
    <t>Refrigerated Case Light Occupancy Controls</t>
  </si>
  <si>
    <t>R550</t>
  </si>
  <si>
    <t>R560</t>
  </si>
  <si>
    <t>R570</t>
  </si>
  <si>
    <t>R580</t>
  </si>
  <si>
    <t>R590</t>
  </si>
  <si>
    <t>R600</t>
  </si>
  <si>
    <t>R610</t>
  </si>
  <si>
    <t>R620</t>
  </si>
  <si>
    <t>R630</t>
  </si>
  <si>
    <t>R640</t>
  </si>
  <si>
    <t>$35 per door</t>
  </si>
  <si>
    <t>$150 per door</t>
  </si>
  <si>
    <t>$55 per linear foot</t>
  </si>
  <si>
    <t>$5 per sq ft of door</t>
  </si>
  <si>
    <t>$65 per closer</t>
  </si>
  <si>
    <t>R220</t>
  </si>
  <si>
    <t>Floating Head Pressure Controls</t>
  </si>
  <si>
    <t>$20 per hp</t>
  </si>
  <si>
    <t>fixture</t>
  </si>
  <si>
    <t>unit</t>
  </si>
  <si>
    <t>linear foot</t>
  </si>
  <si>
    <t>controlled refrigerator or freezer</t>
  </si>
  <si>
    <t>door</t>
  </si>
  <si>
    <t xml:space="preserve"> door</t>
  </si>
  <si>
    <t>closer</t>
  </si>
  <si>
    <t>sq ft of door</t>
  </si>
  <si>
    <t>Quantity</t>
  </si>
  <si>
    <t>ENERGY STAR Refrigerator (Solid Door) - R500</t>
  </si>
  <si>
    <t>ENERGY STAR Refrigerator (Glass Door) - R510</t>
  </si>
  <si>
    <t>ENERGY STAR Freezer (Solid Door) - R520</t>
  </si>
  <si>
    <t>ENERGY STAR Freezer (Glass Door) - R530</t>
  </si>
  <si>
    <t>ENERGY STAR Icemaker - R540</t>
  </si>
  <si>
    <t>Refrigerator Zero Energy Doors - R550</t>
  </si>
  <si>
    <t>Freezer Zero Energy Doors - R560</t>
  </si>
  <si>
    <t>Refrigerator Case Door Retrofit - Install Doors - R570</t>
  </si>
  <si>
    <t>Freezer Case Door Retrofit - Install Doors - R580</t>
  </si>
  <si>
    <t>Walk-in Cooler Door Strip Curtains - R590</t>
  </si>
  <si>
    <t>Walk-in Freezer Door Strip Curtains - R600</t>
  </si>
  <si>
    <t>Refrigerator Case Night Covers - R610</t>
  </si>
  <si>
    <t>Freezer Case Night Covers - R620</t>
  </si>
  <si>
    <t>Walk-in Refrigerator Automatic Door Closer - R630</t>
  </si>
  <si>
    <t>Walk-in Freezer Automatic Door Closer - R640</t>
  </si>
  <si>
    <t>Case Light Occupancy Controls - R210</t>
  </si>
  <si>
    <t>Floating Head Pressure Controls - R220</t>
  </si>
  <si>
    <t>Insulation and Leakage Prevention Measures and Equipment</t>
  </si>
  <si>
    <t>Refrigeration Measures</t>
  </si>
  <si>
    <t>12.3.18</t>
  </si>
  <si>
    <t>Adapted commercial standard rebate application to a stand-alone refrigeration application.</t>
  </si>
  <si>
    <t>Author</t>
  </si>
  <si>
    <t>Source</t>
  </si>
  <si>
    <t>Bonus Factor</t>
  </si>
  <si>
    <t>n/a</t>
  </si>
  <si>
    <t>Added 17 new commercial refrigeration measures.</t>
  </si>
  <si>
    <t>Required Documents for Refrigeration Projects</t>
  </si>
  <si>
    <t>The Commercial Refrigeration Program offers rebates to commercial, industrial, institutional, educational, municipal or multi-family building customers who install qualifying energy efficient equipment on refrigeration systems.  This application is not to be used for any rebates other than for refrigeration equipment or refrigeration system upgrades.  Rebates require pre-approval.</t>
  </si>
  <si>
    <t>Only Common Areas of Multi Family buildings qualify under the Commercial Refrigeration Program.</t>
  </si>
  <si>
    <t xml:space="preserve">If the proposed equipment is not listed in any measure-specific eligibility table, refer to the Custom/Custom Retrofit Eligibility requirements and documentation in the Standard Commercial Rebate Application and contact a PSEG Long Island Representative or PSEG Long Island's Infoline at 1-800-692-2626.  Rebate eligibility and amount will be calculated on a case by case basis. </t>
  </si>
  <si>
    <t>Refrigeration Rebate Worksheet</t>
  </si>
  <si>
    <t>Additional Attribute</t>
  </si>
  <si>
    <t>Volume (cubic feet)</t>
  </si>
  <si>
    <t>Harvest Rate (lb/day)</t>
  </si>
  <si>
    <t>Baseline Annual Usage (kWh)</t>
  </si>
  <si>
    <t>Efficient Annual Usage (kWh)</t>
  </si>
  <si>
    <t>Total Load</t>
  </si>
  <si>
    <t>Infiltration Factor - Closed</t>
  </si>
  <si>
    <t>Infiltration Factor - Open</t>
  </si>
  <si>
    <t>Free Cooling - Closed</t>
  </si>
  <si>
    <t>Free Cooling - Open</t>
  </si>
  <si>
    <t>No.</t>
  </si>
  <si>
    <t>12.10.18</t>
  </si>
  <si>
    <r>
      <t xml:space="preserve">Added an extra attribute column to the </t>
    </r>
    <r>
      <rPr>
        <i/>
        <sz val="11"/>
        <color indexed="8"/>
        <rFont val="Calibri"/>
        <family val="2"/>
      </rPr>
      <t>Worksheet</t>
    </r>
    <r>
      <rPr>
        <sz val="11"/>
        <color theme="1"/>
        <rFont val="Calibri"/>
        <family val="2"/>
        <scheme val="minor"/>
      </rPr>
      <t xml:space="preserve"> to provide more granular savings for refrigerators, freezers and icemakers</t>
    </r>
  </si>
  <si>
    <r>
      <t xml:space="preserve">Formatting and labeling updates to the </t>
    </r>
    <r>
      <rPr>
        <i/>
        <sz val="11"/>
        <color indexed="8"/>
        <rFont val="Calibri"/>
        <family val="2"/>
      </rPr>
      <t>References</t>
    </r>
    <r>
      <rPr>
        <sz val="11"/>
        <color theme="1"/>
        <rFont val="Calibri"/>
        <family val="2"/>
        <scheme val="minor"/>
      </rPr>
      <t xml:space="preserve"> and </t>
    </r>
    <r>
      <rPr>
        <i/>
        <sz val="11"/>
        <color indexed="8"/>
        <rFont val="Calibri"/>
        <family val="2"/>
      </rPr>
      <t xml:space="preserve">ProposedEquipment0 </t>
    </r>
    <r>
      <rPr>
        <sz val="11"/>
        <color theme="1"/>
        <rFont val="Calibri"/>
        <family val="2"/>
        <scheme val="minor"/>
      </rPr>
      <t>tabs</t>
    </r>
  </si>
  <si>
    <t>Total Net MMBtu Savings</t>
  </si>
  <si>
    <t>12.13.18</t>
  </si>
  <si>
    <r>
      <t xml:space="preserve">Added carbon savings to </t>
    </r>
    <r>
      <rPr>
        <i/>
        <sz val="11"/>
        <color indexed="8"/>
        <rFont val="Calibri"/>
        <family val="2"/>
      </rPr>
      <t>ProposedEquipment0</t>
    </r>
  </si>
  <si>
    <r>
      <t xml:space="preserve">Added net MMBtu savings to </t>
    </r>
    <r>
      <rPr>
        <i/>
        <sz val="11"/>
        <color indexed="8"/>
        <rFont val="Calibri"/>
        <family val="2"/>
      </rPr>
      <t>ProposedEquipment0</t>
    </r>
  </si>
  <si>
    <t>12.17.18</t>
  </si>
  <si>
    <t>v 1.0</t>
  </si>
  <si>
    <t>v 2.0</t>
  </si>
  <si>
    <t>v 2.1</t>
  </si>
  <si>
    <t>v 2.2</t>
  </si>
  <si>
    <t>12.18.18</t>
  </si>
  <si>
    <t>V2.4</t>
  </si>
  <si>
    <t>Unlocked building type and project type on references tab so inputs can be made on customer information tab</t>
  </si>
  <si>
    <t>*Disclaimer: Terms and conditions are subject to change without notice, including early termination of this promotion. No additional fees apply. The rebate may be issued in the form of a check. PSEG Long Island administers the rebate program on behalf of the Long Island Power Authority, the rebate program sponsor. Please visit https://www.PSEGLIny.com/Efficiency for more details.</t>
  </si>
  <si>
    <t>Eligible equipment may be updated or modified regularly. For the most recent applications and worksheets please visit:</t>
  </si>
  <si>
    <t>Applications must be saved as:  RefrigerationApplication_&lt;&lt;&lt;customer Name&gt;&gt;MMDDYYYY.xls</t>
  </si>
  <si>
    <t xml:space="preserve">Updated all pseg URLs </t>
  </si>
  <si>
    <t>Guidelines tab: updated naming convention to RefrigerationApplication</t>
  </si>
  <si>
    <t>12.18.18/</t>
  </si>
  <si>
    <t>v2.4</t>
  </si>
  <si>
    <t>changed inspection form check box to read "Refrigeration Inspection Form"</t>
  </si>
  <si>
    <t>INS form: Added pre-inspection and post-inspection check boxes</t>
  </si>
  <si>
    <t>Proposed/Installed COP</t>
  </si>
  <si>
    <t>v2.5</t>
  </si>
  <si>
    <t>References- Operating Hours table numbers were not lining up, fixed alignment</t>
  </si>
  <si>
    <t>Unit Type</t>
  </si>
  <si>
    <t>Prop 0- Changed name of COP column to Proposed/Installed COP and Unit column to Unit Type</t>
  </si>
  <si>
    <t>12.27.18</t>
  </si>
  <si>
    <t>v2.6</t>
  </si>
  <si>
    <t>edited images on worksheet; corrected formatting of additional inputs where "n/a" was grey</t>
  </si>
  <si>
    <t>12.28.18</t>
  </si>
  <si>
    <t>v2.7</t>
  </si>
  <si>
    <t>Removed # from measure codes on worksheet; aligned images on worksheet with line items</t>
  </si>
  <si>
    <t>set freeze panes on References tab to focus on refrigeration</t>
  </si>
  <si>
    <t>01.02.19</t>
  </si>
  <si>
    <t>corrected incentive calculations on Proposed 0 tab</t>
  </si>
  <si>
    <t>v2.8</t>
  </si>
  <si>
    <t>Prop 0- Updated number format on columns X and Y so we can import data in to databse - Updated from % to decimal</t>
  </si>
  <si>
    <t>1.02.19</t>
  </si>
  <si>
    <t xml:space="preserve">Worksheet - Edited formula in cell L 28 to "=IF(F29&lt;1," ",F29*RIGHT(LEFT(D29,4),3))" in order to proper calculate $150 rebate </t>
  </si>
  <si>
    <t>1.03.19</t>
  </si>
  <si>
    <t>v1.0</t>
  </si>
  <si>
    <t>Changed version to 1.0 for release as per client approval</t>
  </si>
  <si>
    <t>Total Carbon Savings
(lb CO2)</t>
  </si>
  <si>
    <t>Gross kWh per Unit</t>
  </si>
  <si>
    <t>Gross kW per Unit</t>
  </si>
  <si>
    <t>Net kWh per Unit</t>
  </si>
  <si>
    <t>Net kW per Unit</t>
  </si>
  <si>
    <t>In Service Rate</t>
  </si>
  <si>
    <t>Utility Gross kW</t>
  </si>
  <si>
    <t>Utility Gross kWh</t>
  </si>
  <si>
    <t>2.20.19</t>
  </si>
  <si>
    <t>Nate updated savings calculation to correct double counting of Total Net kW</t>
  </si>
  <si>
    <t>Added Utility Gross fields and In Service Rate to Proposed0 tab</t>
  </si>
  <si>
    <t>Extended kW and kWh decimal places to 7 and 5 places, respectively.</t>
  </si>
  <si>
    <t>draft_3.0</t>
  </si>
  <si>
    <t>draft_3.1</t>
  </si>
  <si>
    <t>NB</t>
  </si>
  <si>
    <t>Rated Voltage (Volts)</t>
  </si>
  <si>
    <t>Rated Load Amps 
(RLA, Amps)</t>
  </si>
  <si>
    <t>Horsepower Calculation Method</t>
  </si>
  <si>
    <t>Number of Phases 
(1 or 3)</t>
  </si>
  <si>
    <t>FHPC Horsepower Calculation Method List</t>
  </si>
  <si>
    <t>No Selection</t>
  </si>
  <si>
    <t>Calculate from Nameplate Data</t>
  </si>
  <si>
    <t>Direct Input from Model Number</t>
  </si>
  <si>
    <t>Selection</t>
  </si>
  <si>
    <t>Calculated Horsepower (hp)</t>
  </si>
  <si>
    <t>Direct Horsepower Input from Model Number (hp)</t>
  </si>
  <si>
    <t>Restricted Floating Head Pressure Controls to simple, single hp compressor systems, added a horsepower calculation based on nameplate data to the Worksheet, and reduced coincidence factor to 0 because this measure optimizes refrigeration during non-peak summer conditions.</t>
  </si>
  <si>
    <t>Measurement</t>
  </si>
  <si>
    <t>2.21.19</t>
  </si>
  <si>
    <t>Updated formatting for phone numbers on Customer Information tab so they include parentheses and dashes</t>
  </si>
  <si>
    <t>MT</t>
  </si>
  <si>
    <t>changed fonts on email addresses so they are consisten with the rest of the inputs on customer information tab</t>
  </si>
  <si>
    <t>Left aligned inputs for customer signature and name at bottom of customer information tab</t>
  </si>
  <si>
    <t>2.26.19</t>
  </si>
  <si>
    <t>Draft_3.2</t>
  </si>
  <si>
    <t>Updated all kW and kWh savings columns on Prop 0 to reflect "Number" format</t>
  </si>
  <si>
    <t>3.11.19</t>
  </si>
  <si>
    <t>draft_3.3</t>
  </si>
  <si>
    <t>3.12.19</t>
  </si>
  <si>
    <t>Eligible hp Quantity?</t>
  </si>
  <si>
    <r>
      <t xml:space="preserve">Updated FSHP labels on </t>
    </r>
    <r>
      <rPr>
        <i/>
        <sz val="11"/>
        <color indexed="8"/>
        <rFont val="Calibri"/>
        <family val="2"/>
      </rPr>
      <t xml:space="preserve">ProposedEquipment0 </t>
    </r>
    <r>
      <rPr>
        <sz val="11"/>
        <color theme="1"/>
        <rFont val="Calibri"/>
        <family val="2"/>
        <scheme val="minor"/>
      </rPr>
      <t>tab to only show up when an eligible hp quantity (hp &gt; 1) has been entered on the Worksheet.</t>
    </r>
  </si>
  <si>
    <t>Left aligned phone numbers that autopopulate from customer information tab at the top of the inspection tab. Also adjusted formatting to include dashes and parentheses.</t>
  </si>
  <si>
    <t>Updated cells to right of "Other" selection under building type on Customer Information tab to allow handwritten input on printed version of application</t>
  </si>
  <si>
    <t>Updated formatting for Contractor phone numbers on Customer Information tab so they include parentheses and dashes.</t>
  </si>
  <si>
    <t>Improved savings algorithms for Energy Star Refrigerators/Freezers to accommodate different size brackets.</t>
  </si>
  <si>
    <t>Updated sources for Anti-Sweat Heater Controls and all ECM measures (previously w/o a listed source) to their original source reference: 2019 PSEG-LI TRM and Attributes from PSEG-LI Projects</t>
  </si>
  <si>
    <t>Updated sources for LED Refrigerated Cases and Evaporator Fan Controls (previously w/o a listed source) to their original source reference: NYS 2010 Tech Manual and Attributes from PSEG-LI Projects</t>
  </si>
  <si>
    <t>draft_3.4</t>
  </si>
  <si>
    <t>3.18.19</t>
  </si>
  <si>
    <t>3.15.19</t>
  </si>
  <si>
    <r>
      <t xml:space="preserve">Fixed macro to paste the workbook's name for </t>
    </r>
    <r>
      <rPr>
        <i/>
        <sz val="11"/>
        <color indexed="8"/>
        <rFont val="Calibri"/>
        <family val="2"/>
      </rPr>
      <t>all</t>
    </r>
    <r>
      <rPr>
        <sz val="11"/>
        <color theme="1"/>
        <rFont val="Calibri"/>
        <family val="2"/>
        <scheme val="minor"/>
      </rPr>
      <t xml:space="preserve"> measures on the Proposed0 tab</t>
    </r>
  </si>
  <si>
    <t>Updated logic to only display Icemaker savings when all inputs are non-zero</t>
  </si>
  <si>
    <t>Updated logic to only display ES Refrigerator, Freezer, and Icemaker rebates when all inputs are non-zero</t>
  </si>
  <si>
    <t>Adjusted peak savings on References tab to Gross kW instead of Net kW to avoid double-counting of the CF on the Proposed0 tab</t>
  </si>
  <si>
    <t>Changed Zero Energy Door algorithm to the Maine TRM instead of the more conservative Xcel MN TRM to align better with actual projects. Lockheed to further develop the explanation for this adjustment.</t>
  </si>
  <si>
    <t>By providing a telephone number you are giving consent to be contacted at that number about matters that are closely related to the utility service.</t>
  </si>
  <si>
    <t>3.19.19</t>
  </si>
  <si>
    <t>draft_3.5</t>
  </si>
  <si>
    <t>Updated Terms and Conditions with legal language pertaining to phone numbers</t>
  </si>
  <si>
    <t>Locked and hid all cells not requiring data entry</t>
  </si>
  <si>
    <t>Reformatted all PSEGLI logos</t>
  </si>
  <si>
    <t>Updated forumla on Inspection tab so measure descriptions populate accurately</t>
  </si>
  <si>
    <t>Moved inspection check box on Worksheet to the very bottom</t>
  </si>
  <si>
    <t>Adjusted calculations for zero energy doors, refrigerators, freezers, and floating head controls to better reflect actual savings.</t>
  </si>
  <si>
    <t>3.29.19</t>
  </si>
  <si>
    <t xml:space="preserve">Version 1.1 approved by the client and is ready for release. </t>
  </si>
  <si>
    <t>11.15.19</t>
  </si>
  <si>
    <t>Development Tab: Updated Version number, effective date, and program year</t>
  </si>
  <si>
    <t>Guildelines Tab: updated guidelines so only projects started after January 1 2020 are eligible under this application</t>
  </si>
  <si>
    <t>Worksheet Tab: updated eligibility for ECMs so they must replace existing motor</t>
  </si>
  <si>
    <t>draft1.1</t>
  </si>
  <si>
    <t>Worksheet Tab: hid rows for new install ECM measures</t>
  </si>
  <si>
    <t>ECM in Walk In Cooler - R300</t>
  </si>
  <si>
    <t>ECM in Display Case - R310</t>
  </si>
  <si>
    <t>Anti-Sweat Heater Controls - R400</t>
  </si>
  <si>
    <t>Walk In Cooler and Freezer evaporator fan control - R200</t>
  </si>
  <si>
    <t>Worksheet Tab: added measure code to measure descriptions where missing to maintain consistency</t>
  </si>
  <si>
    <t>draft1.2</t>
  </si>
  <si>
    <t>11.26.19</t>
  </si>
  <si>
    <t>Inspection: hid rows for new install ECM measures</t>
  </si>
  <si>
    <t>Inspection Tab: reformatted Quantity field for measuer R220 to maintain consistency</t>
  </si>
  <si>
    <t>12.04.19</t>
  </si>
  <si>
    <t>draft1.3</t>
  </si>
  <si>
    <t xml:space="preserve">Customer Information Tab: Updated "Other" radial button under building type to remove colon and make entire button visible. </t>
  </si>
  <si>
    <t>Guidelines: increase row height so all text is visible</t>
  </si>
  <si>
    <t>Reformatted photos and logos across entire application</t>
  </si>
  <si>
    <t>Worksheet: corrected eligibility criteria for R220 so Direct Horsepower Input from Model Number is input to cell H15</t>
  </si>
  <si>
    <t>Worksheet: updated formula in rebate cells for ECM measures so rebates only populate when Existing Building is selected on the Customer Information tab</t>
  </si>
  <si>
    <t>12.05.19</t>
  </si>
  <si>
    <t>draft1.4</t>
  </si>
  <si>
    <t>Worksheet: bolded newly added eligibility criteria for ECM measures and moved that to top of criteria list</t>
  </si>
  <si>
    <t>12.11.19</t>
  </si>
  <si>
    <t>Version 1.0</t>
  </si>
  <si>
    <t>Locked and prepped workbook for launch</t>
  </si>
  <si>
    <t>$4 per linear foot</t>
  </si>
  <si>
    <t>$5 per linear foot</t>
  </si>
  <si>
    <t>9.04.20</t>
  </si>
  <si>
    <t>2021_Version 1.0_draft1.0</t>
  </si>
  <si>
    <t>Worksheet: Added two rows for Door Gaskets</t>
  </si>
  <si>
    <t>MCR</t>
  </si>
  <si>
    <t>References: Added Two rows for door gaskets</t>
  </si>
  <si>
    <t>References: Added Savings for Door gaskets kWh/linear ft.</t>
  </si>
  <si>
    <t>References: Added Savings for kW/linear foot</t>
  </si>
  <si>
    <t>References: Added CF for door gaskets</t>
  </si>
  <si>
    <t>Worksheet: units for door gaskets are liner foot</t>
  </si>
  <si>
    <t>Worksheet: Added Description of door gasket replacements</t>
  </si>
  <si>
    <t>9.8.20</t>
  </si>
  <si>
    <t>draft 1.1</t>
  </si>
  <si>
    <t>Inspection: Added Gaskets to the rows of measures</t>
  </si>
  <si>
    <t>Inspection: Added units to the quantity column</t>
  </si>
  <si>
    <t>10.22.20</t>
  </si>
  <si>
    <t>Dev tab: updated effective date to 1.1.21</t>
  </si>
  <si>
    <t>draft2</t>
  </si>
  <si>
    <t>Cust Info Tab: Removed Project Type Radio buttons</t>
  </si>
  <si>
    <t>Ref Tab: Added Name Manager for Project Type - Existing Building, New Construction</t>
  </si>
  <si>
    <t>Cust Info Tab: Remove Project type Radio buttons</t>
  </si>
  <si>
    <t>Cust Info Tab: Added data validation data drop down "Project tType" to Cell C20</t>
  </si>
  <si>
    <t>Cust Info Tab: Added data validation drop down "Building Type" to Cell C16</t>
  </si>
  <si>
    <t>Organization Type</t>
  </si>
  <si>
    <t>Government</t>
  </si>
  <si>
    <t>Not Incorporated</t>
  </si>
  <si>
    <t>Incorporated</t>
  </si>
  <si>
    <t>Not for Profit</t>
  </si>
  <si>
    <t>Ref Tab: Added "Org Type" table beginning in Cell B68</t>
  </si>
  <si>
    <t>Ref Tab: Added Name Manager for Org Type</t>
  </si>
  <si>
    <t>Cust Info Tab: Removed radio buttons for Org Type</t>
  </si>
  <si>
    <t>Cust Info Tab: Added data validation drop down "Org Type" to Cell C13</t>
  </si>
  <si>
    <t>Guidelines: Row 10 - Updated effective date to  1/1/21</t>
  </si>
  <si>
    <t>*Please note, you may also complete and submit project applications and documents through the Online Application found in the Lead Partner Portal</t>
  </si>
  <si>
    <t>Guidelines: Row 34 - Added language about submitting app and docs through Lead Partner Portal OLA</t>
  </si>
  <si>
    <t>R650</t>
  </si>
  <si>
    <t>R660</t>
  </si>
  <si>
    <t>Worksheet Tab: Added measure codes for Ref Door Gasket (R650) and Freezer Door Gasket (R660)</t>
  </si>
  <si>
    <t>Ref Tab: Added measure codes for Ref Door Gasket (R650) and Freezer Door Gasket (R660)</t>
  </si>
  <si>
    <t>10.23.20</t>
  </si>
  <si>
    <t>draft3</t>
  </si>
  <si>
    <t>Ref Tabs: Added Ref and Freezer door gaskets to Product table</t>
  </si>
  <si>
    <t>Ref Tab: Updated CO2 factor in Cell U94 to 1.1962</t>
  </si>
  <si>
    <t>Project Summary</t>
  </si>
  <si>
    <t>Total kWh Savings</t>
  </si>
  <si>
    <t>Total kW Savings</t>
  </si>
  <si>
    <t>*Please note, if you are participating in the Patchogue Program, the values in the above table correlate with the values required for input in the Program Bonus Tool</t>
  </si>
  <si>
    <t>10.26.20</t>
  </si>
  <si>
    <t>draft4</t>
  </si>
  <si>
    <t>Prop 0: Column Ab/AC (Utility Gross kWh and Utility Gross kW per unit) - Updated references range in formula to account for 2 new measures</t>
  </si>
  <si>
    <t>Prop 0: Column I (unit type)- Updated references range in formaul to account for 2 new measures</t>
  </si>
  <si>
    <t>Ref Tab: in Column AE - added spaced before measure code for 650 and 660</t>
  </si>
  <si>
    <t>Ref Tab: Updated Line Losses for kW to 7.19% and kWh to 5.67% per 2021 planning tool</t>
  </si>
  <si>
    <t>Prop 0: Column AU (total carbon savings)- Updated references range in formula to account for 2 new measures</t>
  </si>
  <si>
    <t>Prop 0: Column AW (Incentive per Unit)- Updated references range in formula to account for 2 new measures</t>
  </si>
  <si>
    <t>Prop 0: Added 2 new measures (R650 and R660) rows to prop 0 tab</t>
  </si>
  <si>
    <t>Worksheet Tab: Added Summary table beginning in Cell D47 to account for total Rebate, Total kWh Savings, and Total kW Savings</t>
  </si>
  <si>
    <t>Total Project Rebate</t>
  </si>
  <si>
    <t>Total Utility Gross kWh Savings</t>
  </si>
  <si>
    <t>Total Utility Gross kW Savings</t>
  </si>
  <si>
    <t>Prop 0: Added a column to calculate Total Utility Gross kWh and Total Utility Gross kW Savings (this is not for importing purposes, only Summary table purposes)</t>
  </si>
  <si>
    <t>Worksheet Tab: Updated Total Rebate Amount formula in Cell L42 to account for two new measures</t>
  </si>
  <si>
    <t>Worksheet Tab: Added formulas to Summary Table (formulas linked to Prop 0)</t>
  </si>
  <si>
    <t>10.28.20</t>
  </si>
  <si>
    <t>draft5</t>
  </si>
  <si>
    <t>Worksheet Tab":reformatted eligibility language for door gaskets to include bold type for EB only</t>
  </si>
  <si>
    <t>Draft5</t>
  </si>
  <si>
    <t>Prop O: Updated formulas in Product Class, Product Name and Product Line to correctly account for Floating Head Controls</t>
  </si>
  <si>
    <t>Prop 0: Updated formulas in Total Utility Gross kWh and Utility Gross kW to be IF statements</t>
  </si>
  <si>
    <t>Select…</t>
  </si>
  <si>
    <t>10.29.20</t>
  </si>
  <si>
    <t>Draft6</t>
  </si>
  <si>
    <t>Ref Tab: Updated range for Name Manager to include "Select…" for Building Type, Organization Type, and Project Type</t>
  </si>
  <si>
    <t>Worksheet Tab: Started updating eligibility language to align with ASHRAE</t>
  </si>
  <si>
    <t>Draft7</t>
  </si>
  <si>
    <t>Worksheet Tab: Updated language to include edits based on ASHRAE</t>
  </si>
  <si>
    <t>Ruchir Shah</t>
  </si>
  <si>
    <t>10.30.20</t>
  </si>
  <si>
    <t>11.02.20</t>
  </si>
  <si>
    <t>Draft 8</t>
  </si>
  <si>
    <t>Worksheet Tab: Finishing language updates</t>
  </si>
  <si>
    <r>
      <t xml:space="preserve">
* </t>
    </r>
    <r>
      <rPr>
        <b/>
        <sz val="11"/>
        <rFont val="Arial Narrow"/>
        <family val="2"/>
      </rPr>
      <t>Occupancy Controls rebates are available for existing equipment only; New Construction or replacement units do not qualify</t>
    </r>
    <r>
      <rPr>
        <sz val="11"/>
        <rFont val="Arial Narrow"/>
        <family val="2"/>
      </rPr>
      <t xml:space="preserve">
* LED power must be less than 4.0 watts per linear foot
</t>
    </r>
  </si>
  <si>
    <r>
      <rPr>
        <b/>
        <sz val="11"/>
        <rFont val="Arial Narrow"/>
        <family val="2"/>
      </rPr>
      <t>* ECM rebates are available for existing equipment only; New Construction or replacement units do not qualify</t>
    </r>
    <r>
      <rPr>
        <sz val="11"/>
        <rFont val="Arial Narrow"/>
        <family val="2"/>
      </rPr>
      <t xml:space="preserve">
* For replacement of standard efficiency shaded-pole or permanently split capacitor evaporator fan motors with brushless DC motors (electronically commutated motors [ECM])
* Use measure code R300 for existing equipment replacement in a walk in cooler
* Use measure code R310 for existing equipment replacement in a display case
* Evaporator fan motors that are less than 1 hp and less than 460 V shall use electronically commutated motors (brushless direct-current motors) or three-phase motors
* Condenser fan motors that are less than 1 hp shall use electronically commutated motors, permanent split-capacitor-type motors, or three-phase motors</t>
    </r>
  </si>
  <si>
    <r>
      <t xml:space="preserve">* </t>
    </r>
    <r>
      <rPr>
        <b/>
        <sz val="11"/>
        <rFont val="Arial Narrow"/>
        <family val="2"/>
      </rPr>
      <t>Door Closer rebates are available for existing equipment only; New Construction or replacement units do not qualify</t>
    </r>
    <r>
      <rPr>
        <sz val="11"/>
        <rFont val="Arial Narrow"/>
        <family val="2"/>
      </rPr>
      <t xml:space="preserve">
* This measure consists of the installation of an automatic, hydraulic-type door closer on main walk-in cooler or freezer doors
* These closers save energy by reducing the infiltration of warm outside air into the refrigeration itself</t>
    </r>
  </si>
  <si>
    <r>
      <rPr>
        <b/>
        <sz val="11"/>
        <rFont val="Arial Narrow"/>
        <family val="2"/>
      </rPr>
      <t>* Door Gasket rebates are available for existing equipment only; New Construction or replacement units do not qualify</t>
    </r>
    <r>
      <rPr>
        <sz val="11"/>
        <rFont val="Arial Narrow"/>
        <family val="2"/>
      </rPr>
      <t xml:space="preserve">
* This measure is the replacement of reach-in and walk-in refrigerated display case door gaskets</t>
    </r>
  </si>
  <si>
    <r>
      <rPr>
        <b/>
        <sz val="11"/>
        <rFont val="Arial Narrow"/>
        <family val="2"/>
      </rPr>
      <t>* Anti-Sweat Heater Control rebates are available for existing equipment only; New Construction or replacement units do not qualify</t>
    </r>
    <r>
      <rPr>
        <sz val="11"/>
        <rFont val="Arial Narrow"/>
        <family val="2"/>
      </rPr>
      <t xml:space="preserve">
* Controls must be based on relative humidity in the air surrounding the display case and reduce the operation of, or turn off, the anti-sweat heaters of the glass door (if applicable) and door frame during periods of low humidity
* Equivalent technologies that reduce or turn off anti-sweat heaters depending on the level of condensation on the inner glass pane may qualify
* Rebates are calculated for each door heater circuit controlled
* Excludes triple pane and heater-less doors</t>
    </r>
  </si>
  <si>
    <t>* Three panes of glass, a low conductivity filler gas (such as argon), and/or a low-E coating on the glass
* Baseline is a freezer door with an anti-sweat heater w/o controls</t>
  </si>
  <si>
    <t>* Retrofit of open multi-deck cooler cases with solid glass doors
* Applicable mostly in groceries and convenience stores</t>
  </si>
  <si>
    <t>* Installation of night covers on open reach-in refrigerated cases during unoccupied hours
* Must be in use at least 3 hours per day</t>
  </si>
  <si>
    <r>
      <rPr>
        <b/>
        <sz val="11"/>
        <rFont val="Arial Narrow"/>
        <family val="2"/>
      </rPr>
      <t>* Strip Curtain rebates are available for existing equipment only; New Construction or replacement units do not qualify</t>
    </r>
    <r>
      <rPr>
        <sz val="11"/>
        <rFont val="Arial Narrow"/>
        <family val="2"/>
      </rPr>
      <t xml:space="preserve">
* Must be installed on walk-in coolers or freezers with ineffective or no existing strip curtains
* Low temperature curtains must be used for freezer applications</t>
    </r>
  </si>
  <si>
    <t>11.10.20</t>
  </si>
  <si>
    <t>Draft9</t>
  </si>
  <si>
    <t>All Tabs: Updated Color Schemes</t>
  </si>
  <si>
    <t>12.16.20</t>
  </si>
  <si>
    <t>Draft10</t>
  </si>
  <si>
    <t>Cust Info Tab: Unlocked Org Type, Project Yype, and Building Type Cells</t>
  </si>
  <si>
    <t>Cust Info Tab: Change background of total rebate cell to white - indicating it is an auto-populated field</t>
  </si>
  <si>
    <t>Worksheet Tab: Added conditional formatting to cell F15 to turn red if "calculated hp canot be less than 1" appears</t>
  </si>
  <si>
    <t>Ref Tab: Update CF for anti sweat heater to 0 from 72</t>
  </si>
  <si>
    <t>Additional Projects to Inspect:</t>
  </si>
  <si>
    <t>INS Form: Updated formula to link to uilding Type on Ref tab</t>
  </si>
  <si>
    <t>INS Form: Added field to capture "Additional Projects to Inspect"</t>
  </si>
  <si>
    <t>12.18.20</t>
  </si>
  <si>
    <t>Version1.0</t>
  </si>
  <si>
    <t>Locking and finalizing app for 2021 luanch</t>
  </si>
  <si>
    <t>10.21.21</t>
  </si>
  <si>
    <t>Version 1.0_Draft1</t>
  </si>
  <si>
    <t>Dev Tab: Updated Year, Effective Date, and Version</t>
  </si>
  <si>
    <t xml:space="preserve">Ref Tab: Update "kW_Base" for LED Lighting to .0439 </t>
  </si>
  <si>
    <t>Ref Tab":Ref Zero Energy Door - No updates to assumptions, updated source to " MAINE TRM v2021.2</t>
  </si>
  <si>
    <t>Ref Tab": Freezer Zero Energy Door - No updates to assumptions, updated source to " MAINE TRM v2021.2</t>
  </si>
  <si>
    <t>Ref Tab": Refrig/Freezer Auto Door Closers - No updates to assumptions, updated source to "IL TRM V9"</t>
  </si>
  <si>
    <t>Ref Tab": Door Gaskets- No updates to assumptions, updated source to "NYS TRM V8"</t>
  </si>
  <si>
    <t>Ref Tab: ES Freezers and Refrigerators: Updated CF to 77%, updated source to "Mid Atlantic TRM V10"</t>
  </si>
  <si>
    <t>10.22.21</t>
  </si>
  <si>
    <t>Guidelines tab: Updated effective date to 1/22</t>
  </si>
  <si>
    <t>Version 1.0_Draft2</t>
  </si>
  <si>
    <t>Worksheet Tab: Ref Case Lighting - Add the following language "Replacement of first generation LEDs is permitted"</t>
  </si>
  <si>
    <t>If customer has participated in any other state or utility sponsored rebate program, related to the technology in this application, please contact a PSEG Long Island Representative to determine whether the project is also eligible under this program.</t>
  </si>
  <si>
    <t>11.17.21</t>
  </si>
  <si>
    <t>Version1_Draft3</t>
  </si>
  <si>
    <t>Guidelines Tab - Added the following language - If customer has participated in any other state or utility sponsored rebate program, related to the technology in this application, please contact a PSEG Long Island Representative to determine whether the project is also eligible under this program.</t>
  </si>
  <si>
    <t>Ref Tab: Updated Source and Metholodgy for Refrigeration Case Doors</t>
  </si>
  <si>
    <t>System Size &amp; Type</t>
  </si>
  <si>
    <t>ENERGY STAR Refrigerators and Freezers</t>
  </si>
  <si>
    <t>ENERGY STAR Icemakers</t>
  </si>
  <si>
    <t>System Type</t>
  </si>
  <si>
    <t>Equipment Type</t>
  </si>
  <si>
    <t>Ice Harvest Rate (IHR)</t>
  </si>
  <si>
    <t>Maximum Daily Energy Use per 100 lbs (kWhBASE)</t>
  </si>
  <si>
    <t>Maximum Daily Energy Use per 100 lbs (kWhEE)</t>
  </si>
  <si>
    <t>Batch Type, Ice-Making Head</t>
  </si>
  <si>
    <t>Batch Type, Remote Condensing</t>
  </si>
  <si>
    <t>Batch Type, Self-Contained</t>
  </si>
  <si>
    <t>Continuous Type, Ice-Making Head</t>
  </si>
  <si>
    <t>Continuous Type, Remote Condensing</t>
  </si>
  <si>
    <t>Continuous Type, Self-Contained</t>
  </si>
  <si>
    <t>Ref Tab: Updated Refrigeration Assumptions table per 2022 PSEG LI TRM</t>
  </si>
  <si>
    <t>Ref Worksheet Tab: ES Ice Maker - Added System Type Drodown</t>
  </si>
  <si>
    <t>Ref Worksheet Tab: Floating Head Control - Added System Type Dropdown</t>
  </si>
  <si>
    <t>11.23.21</t>
  </si>
  <si>
    <t>Draft 5</t>
  </si>
  <si>
    <t>References:Added Ice Maker formulas in a table</t>
  </si>
  <si>
    <t>References:Added kWh base and kWh ee to ice makers</t>
  </si>
  <si>
    <t>References: Added strip curtain tables</t>
  </si>
  <si>
    <t>References: added new strip cutain Hours and kWh</t>
  </si>
  <si>
    <t>Case Type</t>
  </si>
  <si>
    <t>Motor Type</t>
  </si>
  <si>
    <t>Evaporator Fan - Case Type</t>
  </si>
  <si>
    <t>Evaporator Fan - Motor Type</t>
  </si>
  <si>
    <t>Cooler</t>
  </si>
  <si>
    <t>Shaded Pole</t>
  </si>
  <si>
    <t>Freezer</t>
  </si>
  <si>
    <t>ECM</t>
  </si>
  <si>
    <t>11.24.21</t>
  </si>
  <si>
    <t>Draft 6</t>
  </si>
  <si>
    <t>Ref Tab: Added tables for Evap Fan Control Case and Motors</t>
  </si>
  <si>
    <t>Worksheet Tab: Added Motor Type and Case Type cells to Evaporator Fan Controls</t>
  </si>
  <si>
    <t>Ref Tab: Added tables for Evap Fan Control Case and Motors - ESAVE and DSAVE Values</t>
  </si>
  <si>
    <t>Measure Table: updated assumptions to Match internal workbook and DSA TRM</t>
  </si>
  <si>
    <t>Ref Tab: Added formulas as needed for all measures</t>
  </si>
  <si>
    <t>Ref Tab: Updated CFs for Refrigeraton per 2022 PSEG LI TRM</t>
  </si>
  <si>
    <t xml:space="preserve">* For linear LED applications in refrigerated cases (coolers and freezers)
* Eligible equipment must be listed with the DesignLights Consortium (www.designlights.org)
* Replacement of first generation LEDs is permitted
</t>
  </si>
  <si>
    <t>12.8.21</t>
  </si>
  <si>
    <t>All Tabs: Updated PSEG Logo</t>
  </si>
  <si>
    <t>Req Docs: Reordered tabs for proper organization</t>
  </si>
  <si>
    <t>Ref Tab: Updated kWh formula for Floating Head Controls</t>
  </si>
  <si>
    <t xml:space="preserve">Worksheet tab: Added data validation to Control Horsepower to allow decimal </t>
  </si>
  <si>
    <t>12.13.21</t>
  </si>
  <si>
    <t>Draft8</t>
  </si>
  <si>
    <t>Req Docs: Fixed check boxes</t>
  </si>
  <si>
    <r>
      <t xml:space="preserve">* </t>
    </r>
    <r>
      <rPr>
        <b/>
        <sz val="11"/>
        <rFont val="Arial Narrow"/>
        <family val="2"/>
      </rPr>
      <t>Floating Head Pressure Controls rebates are available for retrofiting existing equipment only; New Construction does not qualify</t>
    </r>
    <r>
      <rPr>
        <sz val="11"/>
        <rFont val="Arial Narrow"/>
        <family val="2"/>
      </rPr>
      <t xml:space="preserve">
* Single-compressor systems that do not have variable-capacity capability
* Compressor horsepower capacity rating must be greater than 1 hp
* Must replace existing constant pressure or manually controlled systems 
* Must achieve reduced head pressure in order to maintain a minimum saturated condensing temperature of 70 °F, or a 20 °F variance below design heat pressure during mild weather conditions. 
* Voltage, Rated Load Amps (RLA), and the Number of Phases must be obtained from the compressor's nameplate.
* If any of this information is not available on the nameplate, then the compressor's horsepower capacity is generally embedded in the compressor's Model Number; The applicant may need to consult the manufacturer spec sheets to decipher the model number correctly
     - The horsepower rating can then be input directly into cell H16
*Participant must select System Size and Type </t>
    </r>
  </si>
  <si>
    <t>12.15.21</t>
  </si>
  <si>
    <t>Draft 9</t>
  </si>
  <si>
    <t>Updated PSEG Logos</t>
  </si>
  <si>
    <t>Edited and repasted PSEG Logos on each tab</t>
  </si>
  <si>
    <t>12.17.21</t>
  </si>
  <si>
    <t>Draft11</t>
  </si>
  <si>
    <t>Reformated Logos</t>
  </si>
  <si>
    <t>12.28.21</t>
  </si>
  <si>
    <t>Version1</t>
  </si>
  <si>
    <t>Locked and finalize per client approval</t>
  </si>
  <si>
    <t>10.25.22</t>
  </si>
  <si>
    <t>V1_D1</t>
  </si>
  <si>
    <t>Dev Tab: Updated, Year, Version, and effective Date</t>
  </si>
  <si>
    <t>Rebate Payment Method:</t>
  </si>
  <si>
    <t>Rebate Payment Method</t>
  </si>
  <si>
    <t>Check to Customer</t>
  </si>
  <si>
    <t>Assigned to Contractor</t>
  </si>
  <si>
    <t>Cust Info: Added Dropdown for Rebate Payment Method</t>
  </si>
  <si>
    <t>Ref Tab: Added table for Rebate Payment Method</t>
  </si>
  <si>
    <t>Cust Info: Removed rebate assignment box</t>
  </si>
  <si>
    <t>Guidelines: updated effective date</t>
  </si>
  <si>
    <t>Guidelines: added link to lead partner portal</t>
  </si>
  <si>
    <t xml:space="preserve">For Online Submissions:  </t>
  </si>
  <si>
    <t>www.pseglinyportal.com</t>
  </si>
  <si>
    <t>$500 per controller</t>
  </si>
  <si>
    <t>* Must be designed to reduce the airflow of evaporator fans in walk-in coolers and freezers when the compressor(s) cycle off and no refrigerant flows through the evaporator
* Minimum fan load of 1/20 horsepower when the fan(s) operate continuously at full speed
* Must reduce fan motor power by at least 75 percent when the compressor(s) cycle off
* Rebates are available for controls added to new or existing equipment
* Rebates are calculated per controller
* Evaporator fan motors that are less than 1 hp and less than 460 V shall use electronically
commutated motors (brushless direct-current motors) or three-phase motors</t>
  </si>
  <si>
    <t>Number of Controllers</t>
  </si>
  <si>
    <t>10.26.22</t>
  </si>
  <si>
    <t>V1-D2</t>
  </si>
  <si>
    <t>Worksheet: Updated Evap Fan Control to reflect rebate per controller</t>
  </si>
  <si>
    <t>Worksheet: Updated Evap Fan Control rebate formula</t>
  </si>
  <si>
    <t>NYS TRM V9</t>
  </si>
  <si>
    <t>EB ECM in Walk In Cooler - R300</t>
  </si>
  <si>
    <t>Horsepower of CFM</t>
  </si>
  <si>
    <t>10.27.22</t>
  </si>
  <si>
    <t>V1_D3</t>
  </si>
  <si>
    <t>Worksheet: Added "Horsepower CFM" fields to ECMs</t>
  </si>
  <si>
    <t>Ref Tab: Updated all sources for measures</t>
  </si>
  <si>
    <t>Ref Tab: Updated fields and methodologies for ECMs, Night Covers, Anti Sweat heater Controls</t>
  </si>
  <si>
    <t>NYS TRM V9/Mid ATL TRM V10</t>
  </si>
  <si>
    <t>11.11.22</t>
  </si>
  <si>
    <t>V1_d4</t>
  </si>
  <si>
    <t>Ref Tab: Corrected calc</t>
  </si>
  <si>
    <t>11.14.22</t>
  </si>
  <si>
    <t>Ref Tab: Corrected formula for Night Covers (PSEG LI TRM formula has parantheses in wrong place, refer to Midaltntic V10 TRM)</t>
  </si>
  <si>
    <t>Refrigerator</t>
  </si>
  <si>
    <t>Rfe Tab: Added Whe, WHd, CF table for Anti Sweat Heater Controls</t>
  </si>
  <si>
    <t>Ref Tab: Updated formula for anti sweat heater controls</t>
  </si>
  <si>
    <t>Worksheet Tab: Added System Type dropdown for anti sweat heater controls</t>
  </si>
  <si>
    <t>ed</t>
  </si>
  <si>
    <t>Ref Tab: Updated CF factor in measure table for Anti Sweat heater Controls and ECMS</t>
  </si>
  <si>
    <t>11.21.22</t>
  </si>
  <si>
    <t>Cust Info Tab: Updated formatting on dropdowns</t>
  </si>
  <si>
    <t>v1-D5</t>
  </si>
  <si>
    <t>Worksheet Tab: Updated formulas as needed to ensure rebate doesn't populate before all data entered</t>
  </si>
  <si>
    <t>Ref Tab: Updated "365" reference in ESTAR UEC section</t>
  </si>
  <si>
    <t>Ref Tab: Zero Energy Door - Updated kWh formula to reference Hours cell instead of being hard coded input</t>
  </si>
  <si>
    <t>Do not use this application for Interior or Exterior Lighting and HVAC rebates. For HVAC and Lighting rebates please visit:</t>
  </si>
  <si>
    <t xml:space="preserve">Only applications and worksheets in effect at the time of submittal will be accepted. </t>
  </si>
  <si>
    <t>A PSEG Long Island representative will contact you to schedule a post-inspection.</t>
  </si>
  <si>
    <t>After verification that all necessary requirements have been met, a PSEG Long Island representative will authorize payment and either mail a check to the applicant/assignee or apply a bill credit to the applicant’s account.</t>
  </si>
  <si>
    <t>11.22.22</t>
  </si>
  <si>
    <t>V1_D6</t>
  </si>
  <si>
    <t>Guidelines Tab: Removed repetitve Commercial Website Links</t>
  </si>
  <si>
    <t>Worksheet Tab: Moved rebate incentive language from bottom of tab to top</t>
  </si>
  <si>
    <t>Cust Info Tab: Updated formatting for Buildingng Type dropdowns</t>
  </si>
  <si>
    <t>11.23.22</t>
  </si>
  <si>
    <t>V1_D7</t>
  </si>
  <si>
    <t>Worksheet Tab: Updated formula for Floating Head Controls to ensure System type is entered before rebate popul;ates</t>
  </si>
  <si>
    <t>LED Refrigerated Case Lighting (in Refrigerator) - R101</t>
  </si>
  <si>
    <t>Ref Tab: Added NYS TRM V 9 Lighting Table</t>
  </si>
  <si>
    <t>Worksheet Tab: Added a second row for LED Case Lighting</t>
  </si>
  <si>
    <t>Ref Tab: Add a new row in measure table for LED Case Lighting (Splitting measure for Refrigator and Freezer)</t>
  </si>
  <si>
    <t>Ref Tab: Added updated formulas for lighting</t>
  </si>
  <si>
    <t>Ref Tab: Updated Lighting operating hours and added formula for hours</t>
  </si>
  <si>
    <t>Ref Tab: Added # of doors to Anti Sweat Heater Control - 2 doors per 1 unit is the assumption</t>
  </si>
  <si>
    <t>EB LED Refrigerated Case Lighting (Refrigerator) - R101</t>
  </si>
  <si>
    <t>Prop 0: Added new row for Freezer LED Case Lighting</t>
  </si>
  <si>
    <t>Ref Tab: Updated NTG table to include Freezer LED Case Lighting</t>
  </si>
  <si>
    <t>11.28.22</t>
  </si>
  <si>
    <t>INS Form: Added Freezer LED Case Lighting</t>
  </si>
  <si>
    <t>EB LED Refrigerated Case Lighting (Freezer) - R105</t>
  </si>
  <si>
    <t>R105</t>
  </si>
  <si>
    <t>12.12.22</t>
  </si>
  <si>
    <t>Worksheet Tab: Updated Freezer LED Lighting measure code to R105</t>
  </si>
  <si>
    <t>Ref Tab: Updated all instances of Freezer LED Lighting measure code to R105</t>
  </si>
  <si>
    <t>Prop 0: Updated Measure code for Freezer LED Case Lighting</t>
  </si>
  <si>
    <t>LED Refrigerated Case Lighting (in Freezer) - R105</t>
  </si>
  <si>
    <t>12.27.22</t>
  </si>
  <si>
    <t>Locked and final per client approval</t>
  </si>
  <si>
    <t>R570:</t>
  </si>
  <si>
    <t>EFLHh: Grocery: 3408 -&gt; 3519, Other: 2698 -&gt; 2793</t>
  </si>
  <si>
    <t>EFLHc: Grocery: 1965 -&gt; 1866, Other: 1597 -&gt;1517</t>
  </si>
  <si>
    <t>COP: 3 -&gt; 3.03</t>
  </si>
  <si>
    <t xml:space="preserve">R580: </t>
  </si>
  <si>
    <t>COP: 1.5 -&gt; 1.66</t>
  </si>
  <si>
    <t>R630:</t>
  </si>
  <si>
    <t>kWhc: 943-&gt; 2399</t>
  </si>
  <si>
    <t>kWc: 0.137 -&gt; 0.621</t>
  </si>
  <si>
    <t>R640:</t>
  </si>
  <si>
    <t>kWhf: 2307-&gt; 6949</t>
  </si>
  <si>
    <t>kWf: 0.309 -&gt; 1.3</t>
  </si>
  <si>
    <t>8.22.23</t>
  </si>
  <si>
    <t>V1.0_D1</t>
  </si>
  <si>
    <t>SB</t>
  </si>
  <si>
    <t>D1</t>
  </si>
  <si>
    <t>Guidelines: Line 5: changed date to refelct 2024</t>
  </si>
  <si>
    <r>
      <rPr>
        <i/>
        <sz val="14"/>
        <color indexed="62"/>
        <rFont val="Arial Narrow"/>
        <family val="2"/>
      </rPr>
      <t>Eligibility Table &amp; Worksheet</t>
    </r>
    <r>
      <rPr>
        <i/>
        <sz val="14"/>
        <rFont val="Arial Narrow"/>
        <family val="2"/>
      </rPr>
      <t xml:space="preserve"> - Fill in gray shaded areas with project information to determine rebate</t>
    </r>
  </si>
  <si>
    <t>9.6.23</t>
  </si>
  <si>
    <t>V1.0_D2</t>
  </si>
  <si>
    <t>Updated formating, colors and logo across all tabs</t>
  </si>
  <si>
    <t>D2</t>
  </si>
  <si>
    <t>9.22.23</t>
  </si>
  <si>
    <t>V1.0_D3</t>
  </si>
  <si>
    <t>VBA Code Commented out</t>
  </si>
  <si>
    <t>D3</t>
  </si>
  <si>
    <t>Total horsepower of all fan(s)</t>
  </si>
  <si>
    <r>
      <t xml:space="preserve">Worksheet: Changed ECM input language "Total horsepower of </t>
    </r>
    <r>
      <rPr>
        <b/>
        <sz val="11"/>
        <color theme="1"/>
        <rFont val="Calibri"/>
        <family val="2"/>
        <scheme val="minor"/>
      </rPr>
      <t>all</t>
    </r>
    <r>
      <rPr>
        <sz val="11"/>
        <color theme="1"/>
        <rFont val="Calibri"/>
        <family val="2"/>
        <scheme val="minor"/>
      </rPr>
      <t xml:space="preserve"> fan(s)"</t>
    </r>
  </si>
  <si>
    <t>Total Number of Fans</t>
  </si>
  <si>
    <t>Horsepower per Fan</t>
  </si>
  <si>
    <t>10.30.23</t>
  </si>
  <si>
    <t>V1.0_Draft5</t>
  </si>
  <si>
    <t>D5</t>
  </si>
  <si>
    <t>Worksheet Tab: Hid Project Summary Table</t>
  </si>
  <si>
    <t>Prop 0 &amp; Ref Tab: Added note to refer to internal only for References and Calculations</t>
  </si>
  <si>
    <t>11.6.23</t>
  </si>
  <si>
    <t>V1.0</t>
  </si>
  <si>
    <t>Final and locked per client approval</t>
  </si>
  <si>
    <t>V1</t>
  </si>
  <si>
    <t>10.1.24</t>
  </si>
  <si>
    <t>Created workbook for 2025</t>
  </si>
  <si>
    <t>AZ</t>
  </si>
  <si>
    <t>Highlighted all the used data validations in the reference tab in green</t>
  </si>
  <si>
    <t xml:space="preserve"> AZ </t>
  </si>
  <si>
    <t>% On Control</t>
  </si>
  <si>
    <t>Cooler On/Off</t>
  </si>
  <si>
    <t>Cooler Micropulse</t>
  </si>
  <si>
    <t>Freezer On/Off</t>
  </si>
  <si>
    <t>Freezer Micropulse</t>
  </si>
  <si>
    <t>10.2.24</t>
  </si>
  <si>
    <t>V1_D2</t>
  </si>
  <si>
    <t>Changed ANtiSweat_Controlled to reflect internal. Added cooler typ and freezer type</t>
  </si>
  <si>
    <t>https://www.psegliny.com/businessandcontractorservices/businessandcommercialsavings/rebates</t>
  </si>
  <si>
    <t>Edited the links on the guidelines page to the commercial rebate website as the previous ones were broken</t>
  </si>
  <si>
    <t>IHR DropDown Values</t>
  </si>
  <si>
    <t>Worksheet tab:I did the offset value for ice maker. Made it so the type selected will have the proper IHR drop down in the worksheet</t>
  </si>
  <si>
    <t>Reference tab: Added a table for IRH dropdown next to the IRH reference</t>
  </si>
  <si>
    <t>Condenser Type</t>
  </si>
  <si>
    <t>System</t>
  </si>
  <si>
    <t>System Size</t>
  </si>
  <si>
    <t>ΔkWh/hp</t>
  </si>
  <si>
    <t>Concatenate System Name</t>
  </si>
  <si>
    <t>Unitary</t>
  </si>
  <si>
    <t>0-3 hp</t>
  </si>
  <si>
    <t>&gt;3-6hp</t>
  </si>
  <si>
    <t>&gt;6-10hp</t>
  </si>
  <si>
    <t>&gt;10hp</t>
  </si>
  <si>
    <t>Remote</t>
  </si>
  <si>
    <t>Chanegd floating head pressure to new reference reflecting the internal</t>
  </si>
  <si>
    <t>DAC</t>
  </si>
  <si>
    <t>Yes</t>
  </si>
  <si>
    <t>No</t>
  </si>
  <si>
    <t>Added DAC community select dropdown to cstomer info</t>
  </si>
  <si>
    <t>Added reference to DAC</t>
  </si>
  <si>
    <t>Moved org type and project type to fit DAC dropdown</t>
  </si>
  <si>
    <t>10.4.24</t>
  </si>
  <si>
    <t>D4</t>
  </si>
  <si>
    <t>Moved the references so that the the data used for the workbook is more organized. It goes in order of what is on the worksheet and updated accordingly.</t>
  </si>
  <si>
    <t>Customer info has its own information</t>
  </si>
  <si>
    <t>Deleted some references</t>
  </si>
  <si>
    <t>Rebate Table Values</t>
  </si>
  <si>
    <t>Deleted the rest of the references that werent needed</t>
  </si>
  <si>
    <t>made a table of all the rebates that are used for calculations in the workbook tab</t>
  </si>
  <si>
    <t>D6</t>
  </si>
  <si>
    <t>Project must be started after 1/1/2025 and completed within 180 days for existing buildings and 365 for new construction, where there is a vacant lot at time of application submittal.</t>
  </si>
  <si>
    <t>1.1.25</t>
  </si>
  <si>
    <t>10.29.24</t>
  </si>
  <si>
    <t>D7</t>
  </si>
  <si>
    <t>Worksheet: Added language that DAC will increase by 25% rebate</t>
  </si>
  <si>
    <t>More</t>
  </si>
  <si>
    <t>Lighting</t>
  </si>
  <si>
    <t>LED/Solid State</t>
  </si>
  <si>
    <t>EB LED Refrigerated Case Lighting (in Refrigerator)- R101</t>
  </si>
  <si>
    <t>Fixture</t>
  </si>
  <si>
    <t>EB LED Refrigerated Case Lighting (in Freezer)- R105</t>
  </si>
  <si>
    <t>R200</t>
  </si>
  <si>
    <t>Refrigeration</t>
  </si>
  <si>
    <t>Refrigeration Controls</t>
  </si>
  <si>
    <t>Controller</t>
  </si>
  <si>
    <t>EB ECM in Walk In Case - R300</t>
  </si>
  <si>
    <t>EB ECM in Display Case - R310</t>
  </si>
  <si>
    <t>R400</t>
  </si>
  <si>
    <t>Linear foot</t>
  </si>
  <si>
    <t>hp</t>
  </si>
  <si>
    <t>Refrigeration Insulation</t>
  </si>
  <si>
    <t>Door</t>
  </si>
  <si>
    <t>sq ft</t>
  </si>
  <si>
    <t>Refrigerator Case Door Gasket - R650</t>
  </si>
  <si>
    <t>Freezer Case Door Gasket - R660</t>
  </si>
  <si>
    <t>DAC Rebate</t>
  </si>
  <si>
    <t>Rebate*
per unit</t>
  </si>
  <si>
    <t>Ref Tab: Added Rebate Table, included DAC Rebate</t>
  </si>
  <si>
    <t>Worksheet: Updated rebate formula to calculate standard or DAC rebate</t>
  </si>
  <si>
    <t>11.6.24</t>
  </si>
  <si>
    <t>D8</t>
  </si>
  <si>
    <t>Worksheet:Switched Harvest Rate and System Type cells to properly calculate</t>
  </si>
  <si>
    <t>11.8.24</t>
  </si>
  <si>
    <t>D9</t>
  </si>
  <si>
    <t>Added the verbiage for data validation on worksheet tab N15:N17</t>
  </si>
  <si>
    <t>11.11.24</t>
  </si>
  <si>
    <t>D10</t>
  </si>
  <si>
    <t>Cell F17 chnaged to be referencing H17 not H16</t>
  </si>
  <si>
    <t>Email changed to be in email format</t>
  </si>
  <si>
    <t>Horsepower of Motor</t>
  </si>
  <si>
    <t>12.3.24</t>
  </si>
  <si>
    <t>D11</t>
  </si>
  <si>
    <t>Worksheet Tab: ECM - Changed Horsepower of CFM to Horsepower of Motor</t>
  </si>
  <si>
    <t>Located in a Disadvantaged Community*?</t>
  </si>
  <si>
    <t>*"DAC" may be eligible for up to 25% increased rebates</t>
  </si>
  <si>
    <t>https://www.nyserda.ny.gov/ny/Disadvantaged-Communities</t>
  </si>
  <si>
    <t xml:space="preserve">If customer is located in a Disadvantaged Community ("DAC'), Customer may be eligible for up to 25% increased rebates. "DAC" final determination will be made by PSEG Long Island. </t>
  </si>
  <si>
    <t>All Tabs: Added clariying DAC language to all appropriate tabs</t>
  </si>
  <si>
    <t>All Projects with Refrigerated Case Lighting must be completed, and closing documents submitted, by December 1st, 2025.</t>
  </si>
  <si>
    <r>
      <t xml:space="preserve">If the proposed equipment either does not meet the eligibility requirements or is not listed below, the applicant may still may be eligible for a Custom Rebate.  Contact a PSEG Long Island representative or the PSEG Long Island infoline at 1-800-692-2626.
Equipment that qualifies for more than one rebate category may receive multiple rebates. For example, a single control unit that controls two separate walk-in coolers may qualify for (2) $500 rebates; a single control unit that provides evaporator fan control AND anti-sweat heater control qualifies for BOTH R200 and R400 categories.
</t>
    </r>
    <r>
      <rPr>
        <b/>
        <i/>
        <sz val="12"/>
        <color theme="1"/>
        <rFont val="Arial Narrow"/>
        <family val="2"/>
      </rPr>
      <t>*Please note, customers located in a Disadvantaged Community, may be eligible for up to 25% increased rebates.</t>
    </r>
  </si>
  <si>
    <t>12.24.25</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</si>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</sst>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_(&quot;$&quot;* \(#,##0.00\);_(&quot;$&quot;* &quot;-&quot;??_);_(@_)"/>
    <numFmt numFmtId="43" formatCode="_(* #,##0.00_);_(* \(#,##0.00\);_(* &quot;-&quot;??_);_(@_)"/>
    <numFmt numFmtId="164" formatCode="[&lt;=9999999]###\-####;\(###\)\ ###\-####"/>
    <numFmt numFmtId="165" formatCode="00000"/>
    <numFmt numFmtId="166" formatCode="[$-409]mmmm\ d\,\ yyyy;@"/>
    <numFmt numFmtId="167" formatCode="&quot;$&quot;#,##0"/>
    <numFmt numFmtId="168" formatCode="0.0"/>
    <numFmt numFmtId="169" formatCode="_(&quot;$&quot;* #,##0_);_(&quot;$&quot;* \(#,##0\);_(&quot;$&quot;* &quot;-&quot;??_);_(@_)"/>
    <numFmt numFmtId="170" formatCode="_(* #,##0_);_(* \(#,##0\);_(* &quot;-&quot;??_);_(@_)"/>
    <numFmt numFmtId="171" formatCode="_(* #,##0.0_);_(* \(#,##0.0\);_(* &quot;-&quot;??_);_(@_)"/>
    <numFmt numFmtId="172" formatCode="#,##0.0"/>
    <numFmt numFmtId="173" formatCode="_(* #,##0.000_);_(* \(#,##0.000\);_(* &quot;-&quot;??_);_(@_)"/>
    <numFmt numFmtId="174" formatCode="#,##0.000"/>
    <numFmt numFmtId="175" formatCode="0.0%"/>
    <numFmt numFmtId="176" formatCode="0.0000000"/>
    <numFmt numFmtId="177" formatCode="0.00000"/>
    <numFmt numFmtId="178" formatCode="#,##0.00000"/>
    <numFmt numFmtId="179" formatCode="#,##0.0000000"/>
    <numFmt numFmtId="180" formatCode="0.00000_);\(0.00000\)"/>
    <numFmt numFmtId="181" formatCode="0.0000000_);\(0.0000000\)"/>
  </numFmts>
  <fonts count="114" x14ac:knownFonts="1">
    <font>
      <sz val="11"/>
      <color theme="1"/>
      <name val="Calibri"/>
      <family val="2"/>
      <scheme val="minor"/>
    </font>
    <font>
      <sz val="11"/>
      <color indexed="8"/>
      <name val="Calibri"/>
      <family val="2"/>
    </font>
    <font>
      <sz val="11"/>
      <color indexed="8"/>
      <name val="Calibri"/>
      <family val="2"/>
    </font>
    <font>
      <sz val="11"/>
      <color indexed="8"/>
      <name val="Calibri"/>
      <family val="2"/>
    </font>
    <font>
      <sz val="7"/>
      <color indexed="8"/>
      <name val="Arial Narrow"/>
      <family val="2"/>
    </font>
    <font>
      <b/>
      <i/>
      <sz val="10"/>
      <name val="Arial"/>
      <family val="2"/>
    </font>
    <font>
      <sz val="10"/>
      <name val="Arial"/>
      <family val="2"/>
    </font>
    <font>
      <sz val="10"/>
      <name val="Arial Narrow"/>
      <family val="2"/>
    </font>
    <font>
      <sz val="11"/>
      <color indexed="8"/>
      <name val="Arial Narrow"/>
      <family val="2"/>
    </font>
    <font>
      <sz val="10"/>
      <color indexed="8"/>
      <name val="Arial"/>
      <family val="2"/>
    </font>
    <font>
      <b/>
      <sz val="11"/>
      <name val="Arial Narrow"/>
      <family val="2"/>
    </font>
    <font>
      <sz val="11"/>
      <color indexed="8"/>
      <name val="Calibri"/>
      <family val="2"/>
    </font>
    <font>
      <b/>
      <sz val="11"/>
      <color indexed="8"/>
      <name val="Arial Narrow"/>
      <family val="2"/>
    </font>
    <font>
      <sz val="12"/>
      <color indexed="8"/>
      <name val="Arial Narrow"/>
      <family val="2"/>
    </font>
    <font>
      <i/>
      <sz val="11"/>
      <name val="Arial Narrow"/>
      <family val="2"/>
    </font>
    <font>
      <sz val="11"/>
      <name val="Arial Narrow"/>
      <family val="2"/>
    </font>
    <font>
      <b/>
      <i/>
      <sz val="11"/>
      <color indexed="8"/>
      <name val="Arial Narrow"/>
      <family val="2"/>
    </font>
    <font>
      <i/>
      <sz val="12"/>
      <name val="Arial Narrow"/>
      <family val="2"/>
    </font>
    <font>
      <b/>
      <sz val="8"/>
      <color indexed="8"/>
      <name val="Arial Narrow"/>
      <family val="2"/>
    </font>
    <font>
      <b/>
      <vertAlign val="superscript"/>
      <sz val="8"/>
      <color indexed="8"/>
      <name val="Arial Narrow"/>
      <family val="2"/>
    </font>
    <font>
      <sz val="14"/>
      <name val="Arial Narrow"/>
      <family val="2"/>
    </font>
    <font>
      <b/>
      <sz val="9"/>
      <color indexed="8"/>
      <name val="Arial Narrow"/>
      <family val="2"/>
    </font>
    <font>
      <sz val="9"/>
      <name val="Arial Narrow"/>
      <family val="2"/>
    </font>
    <font>
      <sz val="7"/>
      <name val="Arial Narrow"/>
      <family val="2"/>
    </font>
    <font>
      <sz val="11"/>
      <name val="Calibri"/>
      <family val="2"/>
    </font>
    <font>
      <i/>
      <sz val="11"/>
      <name val="Calibri"/>
      <family val="2"/>
    </font>
    <font>
      <b/>
      <i/>
      <sz val="12"/>
      <name val="Arial Narrow"/>
      <family val="2"/>
    </font>
    <font>
      <b/>
      <i/>
      <sz val="8"/>
      <color indexed="8"/>
      <name val="Arial Narrow"/>
      <family val="2"/>
    </font>
    <font>
      <i/>
      <sz val="10"/>
      <name val="Arial Narrow"/>
      <family val="2"/>
    </font>
    <font>
      <sz val="10"/>
      <color indexed="8"/>
      <name val="Arial"/>
      <family val="2"/>
    </font>
    <font>
      <b/>
      <sz val="11"/>
      <color indexed="10"/>
      <name val="Calibri"/>
      <family val="2"/>
    </font>
    <font>
      <b/>
      <sz val="10"/>
      <color indexed="9"/>
      <name val="Arial Narrow"/>
      <family val="2"/>
    </font>
    <font>
      <i/>
      <sz val="11"/>
      <color indexed="8"/>
      <name val="Calibri"/>
      <family val="2"/>
    </font>
    <font>
      <i/>
      <sz val="14"/>
      <name val="Arial Narrow"/>
      <family val="2"/>
    </font>
    <font>
      <sz val="8"/>
      <name val="Calibri"/>
      <family val="2"/>
    </font>
    <font>
      <sz val="12"/>
      <name val="Arial Narrow"/>
      <family val="2"/>
    </font>
    <font>
      <sz val="20"/>
      <name val="Arial Narrow"/>
      <family val="2"/>
    </font>
    <font>
      <b/>
      <i/>
      <sz val="20"/>
      <color indexed="8"/>
      <name val="Arial Narrow"/>
      <family val="2"/>
    </font>
    <font>
      <b/>
      <i/>
      <sz val="20"/>
      <name val="Arial Narrow"/>
      <family val="2"/>
    </font>
    <font>
      <sz val="8"/>
      <name val="Calibri"/>
      <family val="2"/>
    </font>
    <font>
      <i/>
      <sz val="14"/>
      <color indexed="62"/>
      <name val="Arial Narrow"/>
      <family val="2"/>
    </font>
    <font>
      <sz val="11"/>
      <color theme="1"/>
      <name val="Calibri"/>
      <family val="2"/>
      <scheme val="minor"/>
    </font>
    <font>
      <sz val="11"/>
      <color theme="0"/>
      <name val="Calibri"/>
      <family val="2"/>
      <scheme val="minor"/>
    </font>
    <font>
      <sz val="10"/>
      <color theme="1"/>
      <name val="Arial"/>
      <family val="2"/>
    </font>
    <font>
      <sz val="11"/>
      <color rgb="FF006100"/>
      <name val="Calibri"/>
      <family val="2"/>
      <scheme val="minor"/>
    </font>
    <font>
      <u/>
      <sz val="11"/>
      <color theme="10"/>
      <name val="Calibri"/>
      <family val="2"/>
      <scheme val="minor"/>
    </font>
    <font>
      <u/>
      <sz val="14.3"/>
      <color theme="10"/>
      <name val="Calibri"/>
      <family val="2"/>
    </font>
    <font>
      <b/>
      <sz val="11"/>
      <color theme="1"/>
      <name val="Calibri"/>
      <family val="2"/>
      <scheme val="minor"/>
    </font>
    <font>
      <sz val="11"/>
      <color rgb="FFFF0000"/>
      <name val="Calibri"/>
      <family val="2"/>
      <scheme val="minor"/>
    </font>
    <font>
      <sz val="11"/>
      <name val="Calibri"/>
      <family val="2"/>
      <scheme val="minor"/>
    </font>
    <font>
      <i/>
      <sz val="18"/>
      <color theme="0"/>
      <name val="Arial Narrow"/>
      <family val="2"/>
    </font>
    <font>
      <sz val="7"/>
      <color theme="1"/>
      <name val="Calibri"/>
      <family val="2"/>
      <scheme val="minor"/>
    </font>
    <font>
      <b/>
      <i/>
      <sz val="10"/>
      <color theme="0"/>
      <name val="Arial Narrow"/>
      <family val="2"/>
    </font>
    <font>
      <b/>
      <u/>
      <sz val="11"/>
      <color theme="1"/>
      <name val="Calibri"/>
      <family val="2"/>
      <scheme val="minor"/>
    </font>
    <font>
      <sz val="11"/>
      <color rgb="FF00B050"/>
      <name val="Calibri"/>
      <family val="2"/>
      <scheme val="minor"/>
    </font>
    <font>
      <b/>
      <sz val="11"/>
      <color rgb="FFFF0000"/>
      <name val="Calibri"/>
      <family val="2"/>
      <scheme val="minor"/>
    </font>
    <font>
      <sz val="11"/>
      <color rgb="FFFF00FF"/>
      <name val="Calibri"/>
      <family val="2"/>
      <scheme val="minor"/>
    </font>
    <font>
      <sz val="11"/>
      <color rgb="FFFF33CC"/>
      <name val="Calibri"/>
      <family val="2"/>
      <scheme val="minor"/>
    </font>
    <font>
      <sz val="11"/>
      <color theme="1"/>
      <name val="Arial Narrow"/>
      <family val="2"/>
    </font>
    <font>
      <sz val="14"/>
      <color theme="1"/>
      <name val="Arial Narrow"/>
      <family val="2"/>
    </font>
    <font>
      <sz val="10"/>
      <color theme="1"/>
      <name val="Arial Narrow"/>
      <family val="2"/>
    </font>
    <font>
      <sz val="8"/>
      <color theme="1"/>
      <name val="Arial Narrow"/>
      <family val="2"/>
    </font>
    <font>
      <i/>
      <sz val="11"/>
      <color theme="1"/>
      <name val="Calibri"/>
      <family val="2"/>
      <scheme val="minor"/>
    </font>
    <font>
      <b/>
      <sz val="12"/>
      <color theme="0"/>
      <name val="Arial Narrow"/>
      <family val="2"/>
    </font>
    <font>
      <sz val="12"/>
      <color theme="1"/>
      <name val="Arial Narrow"/>
      <family val="2"/>
    </font>
    <font>
      <sz val="11"/>
      <color rgb="FFF85208"/>
      <name val="Arial Narrow"/>
      <family val="2"/>
    </font>
    <font>
      <b/>
      <sz val="11"/>
      <color theme="1"/>
      <name val="Arial Narrow"/>
      <family val="2"/>
    </font>
    <font>
      <b/>
      <sz val="10"/>
      <color theme="1"/>
      <name val="Arial Narrow"/>
      <family val="2"/>
    </font>
    <font>
      <i/>
      <sz val="10"/>
      <color theme="1"/>
      <name val="Arial Narrow"/>
      <family val="2"/>
    </font>
    <font>
      <i/>
      <sz val="11"/>
      <color theme="1"/>
      <name val="Arial Narrow"/>
      <family val="2"/>
    </font>
    <font>
      <b/>
      <sz val="18"/>
      <color rgb="FF0070C0"/>
      <name val="Arial Narrow"/>
      <family val="2"/>
    </font>
    <font>
      <b/>
      <sz val="7"/>
      <color rgb="FFF85208"/>
      <name val="Arial Narrow"/>
      <family val="2"/>
    </font>
    <font>
      <sz val="7"/>
      <color rgb="FFF85208"/>
      <name val="Arial Narrow"/>
      <family val="2"/>
    </font>
    <font>
      <sz val="6"/>
      <color rgb="FFF85208"/>
      <name val="Arial Narrow"/>
      <family val="2"/>
    </font>
    <font>
      <sz val="6"/>
      <color theme="1"/>
      <name val="Arial Narrow"/>
      <family val="2"/>
    </font>
    <font>
      <sz val="7"/>
      <color theme="1"/>
      <name val="Arial Narrow"/>
      <family val="2"/>
    </font>
    <font>
      <i/>
      <sz val="7"/>
      <color theme="1"/>
      <name val="Arial Narrow"/>
      <family val="2"/>
    </font>
    <font>
      <b/>
      <sz val="18"/>
      <color rgb="FF0070C0"/>
      <name val="Calibri"/>
      <family val="2"/>
      <scheme val="minor"/>
    </font>
    <font>
      <sz val="11"/>
      <color rgb="FFF85208"/>
      <name val="Calibri"/>
      <family val="2"/>
      <scheme val="minor"/>
    </font>
    <font>
      <u/>
      <sz val="11"/>
      <color theme="10"/>
      <name val="Arial Narrow"/>
      <family val="2"/>
    </font>
    <font>
      <sz val="11"/>
      <color rgb="FF33CC33"/>
      <name val="Calibri"/>
      <family val="2"/>
      <scheme val="minor"/>
    </font>
    <font>
      <sz val="22"/>
      <color theme="1"/>
      <name val="Arial Narrow"/>
      <family val="2"/>
    </font>
    <font>
      <i/>
      <sz val="18"/>
      <color theme="1"/>
      <name val="Arial Narrow"/>
      <family val="2"/>
    </font>
    <font>
      <b/>
      <sz val="14"/>
      <color rgb="FFF85208"/>
      <name val="Arial Narrow"/>
      <family val="2"/>
    </font>
    <font>
      <b/>
      <sz val="14"/>
      <color rgb="FF0054CC"/>
      <name val="Arial Narrow"/>
      <family val="2"/>
    </font>
    <font>
      <b/>
      <i/>
      <sz val="11"/>
      <color theme="1"/>
      <name val="Arial Narrow"/>
      <family val="2"/>
    </font>
    <font>
      <b/>
      <sz val="12"/>
      <color theme="1"/>
      <name val="Arial Narrow"/>
      <family val="2"/>
    </font>
    <font>
      <i/>
      <sz val="16"/>
      <color rgb="FFF85208"/>
      <name val="Arial Narrow"/>
      <family val="2"/>
    </font>
    <font>
      <i/>
      <sz val="12"/>
      <color rgb="FFF85208"/>
      <name val="Arial Narrow"/>
      <family val="2"/>
    </font>
    <font>
      <sz val="20"/>
      <color theme="1"/>
      <name val="Calibri"/>
      <family val="2"/>
      <scheme val="minor"/>
    </font>
    <font>
      <b/>
      <i/>
      <sz val="20"/>
      <color theme="1"/>
      <name val="Arial Narrow"/>
      <family val="2"/>
    </font>
    <font>
      <b/>
      <sz val="22"/>
      <color theme="3" tint="-0.249977111117893"/>
      <name val="Calibri"/>
      <family val="2"/>
      <scheme val="minor"/>
    </font>
    <font>
      <sz val="11"/>
      <color theme="1"/>
      <name val="Corbel"/>
      <family val="2"/>
    </font>
    <font>
      <b/>
      <sz val="11"/>
      <color rgb="FFFFFFFF"/>
      <name val="Corbel"/>
      <family val="2"/>
    </font>
    <font>
      <b/>
      <sz val="24"/>
      <color theme="0"/>
      <name val="Times New Roman"/>
      <family val="1"/>
    </font>
    <font>
      <sz val="22"/>
      <color theme="0"/>
      <name val="Arial Narrow"/>
      <family val="2"/>
    </font>
    <font>
      <i/>
      <sz val="22"/>
      <color theme="0"/>
      <name val="Times New Roman"/>
      <family val="1"/>
    </font>
    <font>
      <b/>
      <sz val="11"/>
      <color theme="0"/>
      <name val="Arial Narrow"/>
      <family val="2"/>
    </font>
    <font>
      <b/>
      <i/>
      <sz val="20"/>
      <color theme="0"/>
      <name val="Arial Narrow"/>
      <family val="2"/>
    </font>
    <font>
      <b/>
      <sz val="22"/>
      <color theme="0"/>
      <name val="Times New Roman"/>
      <family val="1"/>
    </font>
    <font>
      <i/>
      <sz val="18"/>
      <color theme="0"/>
      <name val="Times New Roman"/>
      <family val="1"/>
    </font>
    <font>
      <b/>
      <sz val="9"/>
      <color theme="1"/>
      <name val="Arial Narrow"/>
      <family val="2"/>
    </font>
    <font>
      <b/>
      <sz val="24"/>
      <color rgb="FF002060"/>
      <name val="Calibri"/>
      <family val="2"/>
      <scheme val="minor"/>
    </font>
    <font>
      <b/>
      <i/>
      <sz val="12"/>
      <color theme="0"/>
      <name val="Arial Narrow"/>
      <family val="2"/>
    </font>
    <font>
      <i/>
      <sz val="12"/>
      <color theme="1"/>
      <name val="Arial Narrow"/>
      <family val="2"/>
    </font>
    <font>
      <i/>
      <sz val="14"/>
      <color rgb="FF0054CC"/>
      <name val="Arial Narrow"/>
      <family val="2"/>
    </font>
    <font>
      <b/>
      <i/>
      <sz val="16"/>
      <color theme="0"/>
      <name val="Arial Narrow"/>
      <family val="2"/>
    </font>
    <font>
      <sz val="8"/>
      <color rgb="FF000000"/>
      <name val="Segoe UI"/>
      <family val="2"/>
    </font>
    <font>
      <sz val="8"/>
      <color rgb="FF000000"/>
      <name val="Tahoma"/>
      <family val="2"/>
    </font>
    <font>
      <b/>
      <sz val="11"/>
      <color rgb="FFFFFFFF"/>
      <name val="Corbel"/>
      <family val="2"/>
    </font>
    <font>
      <sz val="11"/>
      <color theme="1"/>
      <name val="Corbel"/>
      <family val="2"/>
    </font>
    <font>
      <b/>
      <i/>
      <sz val="12"/>
      <color theme="1"/>
      <name val="Arial Narrow"/>
      <family val="2"/>
    </font>
    <font>
      <u/>
      <sz val="14"/>
      <color theme="8" tint="-0.249977111117893"/>
      <name val="Arial Narrow"/>
      <family val="2"/>
    </font>
    <font>
      <u/>
      <sz val="8"/>
      <color theme="10"/>
      <name val="Calibri"/>
      <family val="2"/>
      <scheme val="minor"/>
    </font>
  </fonts>
  <fills count="23">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85208"/>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99FF"/>
        <bgColor indexed="64"/>
      </patternFill>
    </fill>
    <fill>
      <patternFill patternType="solid">
        <fgColor theme="3" tint="0.59999389629810485"/>
        <bgColor indexed="64"/>
      </patternFill>
    </fill>
    <fill>
      <patternFill patternType="solid">
        <fgColor rgb="FF00B0F0"/>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00B050"/>
        <bgColor indexed="64"/>
      </patternFill>
    </fill>
    <fill>
      <patternFill patternType="solid">
        <fgColor rgb="FF142C41"/>
        <bgColor indexed="64"/>
      </patternFill>
    </fill>
    <fill>
      <gradientFill>
        <stop position="0">
          <color theme="1"/>
        </stop>
        <stop position="1">
          <color theme="0"/>
        </stop>
      </gradientFill>
    </fill>
    <fill>
      <gradientFill>
        <stop position="0">
          <color rgb="FF6A5B4E"/>
        </stop>
        <stop position="1">
          <color theme="0"/>
        </stop>
      </gradientFill>
    </fill>
    <fill>
      <gradientFill>
        <stop position="0">
          <color rgb="FF142C41"/>
        </stop>
        <stop position="1">
          <color theme="0"/>
        </stop>
      </gradientFill>
    </fill>
    <fill>
      <patternFill patternType="solid">
        <fgColor theme="6" tint="0.59999389629810485"/>
        <bgColor indexed="64"/>
      </patternFill>
    </fill>
    <fill>
      <patternFill patternType="solid">
        <fgColor theme="6" tint="0.39997558519241921"/>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medium">
        <color rgb="FFF85208"/>
      </bottom>
      <diagonal/>
    </border>
    <border>
      <left/>
      <right/>
      <top style="thick">
        <color rgb="FFF85208"/>
      </top>
      <bottom/>
      <diagonal/>
    </border>
    <border>
      <left/>
      <right style="thin">
        <color indexed="64"/>
      </right>
      <top style="medium">
        <color rgb="FFF85208"/>
      </top>
      <bottom/>
      <diagonal/>
    </border>
    <border>
      <left/>
      <right/>
      <top/>
      <bottom style="medium">
        <color theme="9" tint="-0.24994659260841701"/>
      </bottom>
      <diagonal/>
    </border>
    <border>
      <left/>
      <right/>
      <top style="thick">
        <color rgb="FFF85208"/>
      </top>
      <bottom style="thin">
        <color indexed="64"/>
      </bottom>
      <diagonal/>
    </border>
    <border>
      <left/>
      <right/>
      <top style="thin">
        <color indexed="64"/>
      </top>
      <bottom style="thin">
        <color rgb="FF142C41"/>
      </bottom>
      <diagonal/>
    </border>
    <border>
      <left/>
      <right/>
      <top style="thin">
        <color indexed="64"/>
      </top>
      <bottom style="medium">
        <color rgb="FFF85208"/>
      </bottom>
      <diagonal/>
    </border>
    <border>
      <left/>
      <right/>
      <top style="medium">
        <color rgb="FFF85208"/>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s>
  <cellStyleXfs count="89">
    <xf numFmtId="0" fontId="0" fillId="0" borderId="0"/>
    <xf numFmtId="0" fontId="6" fillId="0" borderId="0"/>
    <xf numFmtId="0" fontId="6" fillId="0" borderId="0"/>
    <xf numFmtId="43" fontId="4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4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4" fillId="2" borderId="0" applyNumberFormat="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43" fillId="0" borderId="0"/>
    <xf numFmtId="0" fontId="6" fillId="0" borderId="0"/>
    <xf numFmtId="0" fontId="41" fillId="0" borderId="0"/>
    <xf numFmtId="0" fontId="6" fillId="0" borderId="0"/>
    <xf numFmtId="0" fontId="41" fillId="0" borderId="0"/>
    <xf numFmtId="0" fontId="6" fillId="0" borderId="0"/>
    <xf numFmtId="0" fontId="6" fillId="0" borderId="0"/>
    <xf numFmtId="0" fontId="6" fillId="0" borderId="0"/>
    <xf numFmtId="0" fontId="29" fillId="0" borderId="0"/>
    <xf numFmtId="0" fontId="9"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cellStyleXfs>
  <cellXfs count="497">
    <xf numFmtId="0" fontId="0" fillId="0" borderId="0" xfId="0"/>
    <xf numFmtId="0" fontId="0" fillId="0" borderId="0" xfId="0" applyProtection="1">
      <protection locked="0"/>
    </xf>
    <xf numFmtId="0" fontId="0" fillId="0" borderId="0" xfId="0" applyAlignment="1">
      <alignment vertical="center"/>
    </xf>
    <xf numFmtId="0" fontId="0" fillId="0" borderId="0" xfId="0" applyAlignment="1">
      <alignment horizontal="center"/>
    </xf>
    <xf numFmtId="0" fontId="0" fillId="0" borderId="2" xfId="0" applyBorder="1"/>
    <xf numFmtId="0" fontId="50" fillId="0" borderId="0" xfId="0" applyFont="1" applyAlignment="1">
      <alignment horizontal="left" vertical="center"/>
    </xf>
    <xf numFmtId="0" fontId="51" fillId="0" borderId="0" xfId="0" applyFont="1" applyProtection="1">
      <protection hidden="1"/>
    </xf>
    <xf numFmtId="2" fontId="0" fillId="0" borderId="0" xfId="0" applyNumberFormat="1"/>
    <xf numFmtId="170" fontId="15" fillId="3" borderId="2" xfId="3" applyNumberFormat="1" applyFont="1" applyFill="1" applyBorder="1" applyAlignment="1" applyProtection="1">
      <alignment horizontal="center" vertical="center"/>
      <protection locked="0"/>
    </xf>
    <xf numFmtId="0" fontId="0" fillId="0" borderId="0" xfId="0" applyAlignment="1">
      <alignment wrapText="1"/>
    </xf>
    <xf numFmtId="0" fontId="53" fillId="0" borderId="0" xfId="0" applyFont="1" applyAlignment="1">
      <alignment horizontal="center"/>
    </xf>
    <xf numFmtId="175" fontId="54" fillId="0" borderId="0" xfId="0" applyNumberFormat="1" applyFont="1"/>
    <xf numFmtId="10" fontId="0" fillId="0" borderId="0" xfId="0" applyNumberFormat="1"/>
    <xf numFmtId="0" fontId="55" fillId="0" borderId="0" xfId="0" applyFont="1"/>
    <xf numFmtId="0" fontId="47" fillId="0" borderId="0" xfId="0" applyFont="1" applyAlignment="1">
      <alignment wrapText="1"/>
    </xf>
    <xf numFmtId="0" fontId="49" fillId="0" borderId="0" xfId="0" applyFont="1" applyAlignment="1">
      <alignment horizontal="center" vertical="center" wrapText="1"/>
    </xf>
    <xf numFmtId="43" fontId="41" fillId="0" borderId="0" xfId="3"/>
    <xf numFmtId="173" fontId="41" fillId="0" borderId="0" xfId="3" applyNumberFormat="1"/>
    <xf numFmtId="171" fontId="0" fillId="0" borderId="0" xfId="0" applyNumberFormat="1"/>
    <xf numFmtId="173" fontId="0" fillId="0" borderId="0" xfId="0" applyNumberFormat="1"/>
    <xf numFmtId="171" fontId="0" fillId="0" borderId="0" xfId="0" applyNumberFormat="1" applyAlignment="1">
      <alignment wrapText="1"/>
    </xf>
    <xf numFmtId="173" fontId="0" fillId="0" borderId="0" xfId="0" applyNumberFormat="1" applyAlignment="1">
      <alignment wrapText="1"/>
    </xf>
    <xf numFmtId="0" fontId="56" fillId="0" borderId="0" xfId="0" applyFont="1" applyAlignment="1">
      <alignment vertical="center"/>
    </xf>
    <xf numFmtId="0" fontId="57" fillId="0" borderId="0" xfId="0" applyFont="1" applyAlignment="1">
      <alignment vertical="center"/>
    </xf>
    <xf numFmtId="0" fontId="48" fillId="0" borderId="0" xfId="0" applyFont="1" applyAlignment="1">
      <alignment vertical="center"/>
    </xf>
    <xf numFmtId="0" fontId="58" fillId="0" borderId="13" xfId="0" applyFont="1" applyBorder="1" applyProtection="1">
      <protection locked="0"/>
    </xf>
    <xf numFmtId="0" fontId="0" fillId="3" borderId="2" xfId="0" applyFill="1" applyBorder="1" applyProtection="1">
      <protection locked="0"/>
    </xf>
    <xf numFmtId="0" fontId="58" fillId="0" borderId="0" xfId="0" applyFont="1" applyAlignment="1">
      <alignment horizontal="left" vertical="center"/>
    </xf>
    <xf numFmtId="165" fontId="59" fillId="3" borderId="13" xfId="0" applyNumberFormat="1" applyFont="1" applyFill="1" applyBorder="1" applyAlignment="1" applyProtection="1">
      <alignment horizontal="left"/>
      <protection locked="0"/>
    </xf>
    <xf numFmtId="0" fontId="60" fillId="5" borderId="13" xfId="0" applyFont="1" applyFill="1" applyBorder="1" applyProtection="1">
      <protection locked="0"/>
    </xf>
    <xf numFmtId="0" fontId="61" fillId="5" borderId="0" xfId="0" applyFont="1" applyFill="1" applyAlignment="1" applyProtection="1">
      <alignment horizontal="center"/>
      <protection hidden="1"/>
    </xf>
    <xf numFmtId="0" fontId="58" fillId="3" borderId="2" xfId="0" applyFont="1" applyFill="1" applyBorder="1" applyAlignment="1" applyProtection="1">
      <alignment horizontal="center" vertical="center" wrapText="1"/>
      <protection locked="0"/>
    </xf>
    <xf numFmtId="0" fontId="0" fillId="3" borderId="2" xfId="0" applyFill="1" applyBorder="1" applyAlignment="1" applyProtection="1">
      <alignment horizontal="left"/>
      <protection locked="0"/>
    </xf>
    <xf numFmtId="0" fontId="63" fillId="3" borderId="2" xfId="0" applyFont="1" applyFill="1" applyBorder="1" applyAlignment="1" applyProtection="1">
      <alignment horizontal="left" vertical="center"/>
      <protection locked="0"/>
    </xf>
    <xf numFmtId="0" fontId="58" fillId="3" borderId="2" xfId="0" applyFont="1" applyFill="1" applyBorder="1" applyAlignment="1" applyProtection="1">
      <alignment horizontal="left"/>
      <protection locked="0"/>
    </xf>
    <xf numFmtId="0" fontId="0" fillId="0" borderId="0" xfId="0" applyAlignment="1">
      <alignment horizontal="center" vertical="center"/>
    </xf>
    <xf numFmtId="0" fontId="6" fillId="0" borderId="1" xfId="79" applyFont="1" applyBorder="1" applyAlignment="1">
      <alignment horizontal="center" vertical="center" wrapText="1"/>
    </xf>
    <xf numFmtId="0" fontId="6" fillId="0" borderId="0" xfId="79" applyFont="1" applyAlignment="1">
      <alignment horizontal="center" vertical="center" wrapText="1"/>
    </xf>
    <xf numFmtId="0" fontId="0" fillId="0" borderId="0" xfId="0" applyAlignment="1">
      <alignment vertical="center" wrapText="1"/>
    </xf>
    <xf numFmtId="0" fontId="47" fillId="0" borderId="2" xfId="0" applyFont="1" applyBorder="1" applyAlignment="1">
      <alignment horizontal="center" vertical="center" wrapText="1"/>
    </xf>
    <xf numFmtId="0" fontId="0" fillId="0" borderId="2" xfId="0" applyBorder="1" applyAlignment="1">
      <alignment vertical="center"/>
    </xf>
    <xf numFmtId="0" fontId="0" fillId="0" borderId="2" xfId="0" applyBorder="1" applyAlignment="1">
      <alignment horizontal="center" vertical="center"/>
    </xf>
    <xf numFmtId="0" fontId="0" fillId="6" borderId="6" xfId="0" applyFill="1" applyBorder="1" applyAlignment="1">
      <alignment vertical="center"/>
    </xf>
    <xf numFmtId="0" fontId="0" fillId="6" borderId="0" xfId="0" applyFill="1" applyAlignment="1">
      <alignment vertical="center"/>
    </xf>
    <xf numFmtId="169" fontId="41" fillId="0" borderId="0" xfId="39" applyNumberFormat="1"/>
    <xf numFmtId="4" fontId="0" fillId="0" borderId="0" xfId="0" applyNumberFormat="1"/>
    <xf numFmtId="172" fontId="0" fillId="0" borderId="0" xfId="0" applyNumberFormat="1"/>
    <xf numFmtId="174" fontId="0" fillId="0" borderId="0" xfId="0" applyNumberFormat="1"/>
    <xf numFmtId="3" fontId="0" fillId="0" borderId="0" xfId="0" applyNumberFormat="1"/>
    <xf numFmtId="168" fontId="0" fillId="0" borderId="0" xfId="0" applyNumberFormat="1"/>
    <xf numFmtId="171" fontId="41" fillId="0" borderId="0" xfId="3" applyNumberFormat="1"/>
    <xf numFmtId="0" fontId="47" fillId="6" borderId="6" xfId="0" applyFont="1" applyFill="1" applyBorder="1" applyAlignment="1">
      <alignment horizontal="right" vertical="center" indent="2"/>
    </xf>
    <xf numFmtId="0" fontId="17" fillId="7" borderId="2" xfId="0" applyFont="1" applyFill="1" applyBorder="1" applyAlignment="1">
      <alignment horizontal="center" vertical="center"/>
    </xf>
    <xf numFmtId="2" fontId="0" fillId="0" borderId="0" xfId="0" applyNumberFormat="1" applyAlignment="1">
      <alignment wrapText="1"/>
    </xf>
    <xf numFmtId="2" fontId="41" fillId="0" borderId="0" xfId="3" applyNumberFormat="1"/>
    <xf numFmtId="0" fontId="6" fillId="8" borderId="1" xfId="79" applyFont="1" applyFill="1" applyBorder="1" applyAlignment="1">
      <alignment horizontal="center" vertical="center" wrapText="1"/>
    </xf>
    <xf numFmtId="0" fontId="49" fillId="8" borderId="0" xfId="0" applyFont="1" applyFill="1" applyAlignment="1">
      <alignment horizontal="center" vertical="center" wrapText="1"/>
    </xf>
    <xf numFmtId="0" fontId="6" fillId="8" borderId="0" xfId="79" applyFont="1" applyFill="1" applyAlignment="1">
      <alignment horizontal="center" vertical="center" wrapText="1"/>
    </xf>
    <xf numFmtId="175" fontId="0" fillId="0" borderId="0" xfId="0" applyNumberFormat="1"/>
    <xf numFmtId="175" fontId="41" fillId="0" borderId="0" xfId="3" applyNumberFormat="1"/>
    <xf numFmtId="178" fontId="41" fillId="0" borderId="0" xfId="3" applyNumberFormat="1"/>
    <xf numFmtId="178" fontId="0" fillId="0" borderId="0" xfId="0" applyNumberFormat="1"/>
    <xf numFmtId="179" fontId="0" fillId="0" borderId="0" xfId="0" applyNumberFormat="1"/>
    <xf numFmtId="49" fontId="17" fillId="7" borderId="2" xfId="0" applyNumberFormat="1" applyFont="1" applyFill="1" applyBorder="1" applyAlignment="1">
      <alignment horizontal="center" vertical="center" wrapText="1"/>
    </xf>
    <xf numFmtId="43" fontId="15" fillId="3" borderId="2" xfId="3" applyFont="1" applyFill="1" applyBorder="1" applyAlignment="1" applyProtection="1">
      <alignment horizontal="center" vertical="center"/>
      <protection locked="0"/>
    </xf>
    <xf numFmtId="170" fontId="15" fillId="3" borderId="2" xfId="3" applyNumberFormat="1" applyFont="1" applyFill="1" applyBorder="1" applyAlignment="1" applyProtection="1">
      <alignment horizontal="center" vertical="center" wrapText="1"/>
      <protection locked="0"/>
    </xf>
    <xf numFmtId="43" fontId="15" fillId="3" borderId="2" xfId="3" applyFont="1" applyFill="1" applyBorder="1" applyAlignment="1" applyProtection="1">
      <alignment horizontal="center" vertical="center" wrapText="1"/>
      <protection locked="0"/>
    </xf>
    <xf numFmtId="9" fontId="0" fillId="0" borderId="0" xfId="0" applyNumberFormat="1"/>
    <xf numFmtId="177" fontId="0" fillId="0" borderId="0" xfId="0" applyNumberFormat="1"/>
    <xf numFmtId="176" fontId="0" fillId="0" borderId="0" xfId="0" applyNumberFormat="1"/>
    <xf numFmtId="180" fontId="0" fillId="0" borderId="0" xfId="0" applyNumberFormat="1" applyAlignment="1">
      <alignment wrapText="1"/>
    </xf>
    <xf numFmtId="181" fontId="0" fillId="0" borderId="0" xfId="0" applyNumberFormat="1" applyAlignment="1">
      <alignment wrapText="1"/>
    </xf>
    <xf numFmtId="0" fontId="58" fillId="0" borderId="0" xfId="0" applyFont="1" applyAlignment="1">
      <alignment vertical="center"/>
    </xf>
    <xf numFmtId="0" fontId="26" fillId="0" borderId="0" xfId="0" applyFont="1" applyAlignment="1">
      <alignment horizontal="left" vertical="center"/>
    </xf>
    <xf numFmtId="0" fontId="47" fillId="0" borderId="0" xfId="0" applyFont="1" applyAlignment="1">
      <alignment horizontal="center" vertical="center"/>
    </xf>
    <xf numFmtId="0" fontId="0" fillId="0" borderId="0" xfId="0" applyAlignment="1">
      <alignment horizontal="left" vertical="center"/>
    </xf>
    <xf numFmtId="0" fontId="47" fillId="0" borderId="0" xfId="0" applyFont="1" applyAlignment="1">
      <alignment horizontal="left" vertical="center"/>
    </xf>
    <xf numFmtId="14" fontId="0" fillId="0" borderId="0" xfId="0" applyNumberFormat="1" applyAlignment="1">
      <alignment horizontal="center" vertical="center"/>
    </xf>
    <xf numFmtId="168" fontId="0" fillId="0" borderId="0" xfId="0" applyNumberFormat="1" applyAlignment="1">
      <alignment horizontal="center" vertical="center"/>
    </xf>
    <xf numFmtId="0" fontId="48" fillId="0" borderId="0" xfId="0" applyFont="1" applyAlignment="1">
      <alignment horizontal="left" vertical="center"/>
    </xf>
    <xf numFmtId="0" fontId="49" fillId="0" borderId="0" xfId="0" applyFont="1" applyAlignment="1">
      <alignment vertical="center" wrapText="1"/>
    </xf>
    <xf numFmtId="0" fontId="15" fillId="0" borderId="0" xfId="0" applyFont="1" applyAlignment="1">
      <alignment horizontal="center" vertical="center"/>
    </xf>
    <xf numFmtId="0" fontId="49" fillId="0" borderId="0" xfId="0" applyFont="1" applyAlignment="1">
      <alignment vertical="center"/>
    </xf>
    <xf numFmtId="0" fontId="15" fillId="0" borderId="0" xfId="0" applyFont="1" applyAlignment="1">
      <alignment vertical="center"/>
    </xf>
    <xf numFmtId="0" fontId="58" fillId="0" borderId="0" xfId="0" applyFont="1" applyAlignment="1">
      <alignment horizontal="center" vertical="center"/>
    </xf>
    <xf numFmtId="0" fontId="49" fillId="0" borderId="0" xfId="0" applyFont="1" applyAlignment="1">
      <alignment horizontal="left" vertical="center"/>
    </xf>
    <xf numFmtId="0" fontId="0" fillId="0" borderId="0" xfId="0" applyAlignment="1">
      <alignment horizontal="left" vertical="center" wrapText="1"/>
    </xf>
    <xf numFmtId="168" fontId="58" fillId="0" borderId="0" xfId="0" applyNumberFormat="1" applyFont="1" applyAlignment="1">
      <alignment horizontal="center" vertical="center"/>
    </xf>
    <xf numFmtId="0" fontId="48" fillId="9" borderId="0" xfId="0" applyFont="1" applyFill="1" applyAlignment="1">
      <alignment horizontal="left" vertical="center" wrapText="1"/>
    </xf>
    <xf numFmtId="0" fontId="64" fillId="3" borderId="13" xfId="0" applyFont="1" applyFill="1" applyBorder="1" applyAlignment="1" applyProtection="1">
      <alignment horizontal="left"/>
      <protection locked="0"/>
    </xf>
    <xf numFmtId="0" fontId="64" fillId="3" borderId="2" xfId="0" applyFont="1" applyFill="1" applyBorder="1" applyAlignment="1" applyProtection="1">
      <alignment horizontal="left"/>
      <protection locked="0"/>
    </xf>
    <xf numFmtId="0" fontId="58" fillId="0" borderId="0" xfId="0" applyFont="1" applyProtection="1">
      <protection hidden="1"/>
    </xf>
    <xf numFmtId="0" fontId="65" fillId="0" borderId="0" xfId="0" applyFont="1" applyProtection="1">
      <protection hidden="1"/>
    </xf>
    <xf numFmtId="0" fontId="66" fillId="0" borderId="0" xfId="0" applyFont="1" applyAlignment="1" applyProtection="1">
      <alignment horizontal="right"/>
      <protection hidden="1"/>
    </xf>
    <xf numFmtId="0" fontId="58" fillId="0" borderId="13" xfId="0" applyFont="1" applyBorder="1" applyProtection="1">
      <protection hidden="1"/>
    </xf>
    <xf numFmtId="0" fontId="67" fillId="0" borderId="0" xfId="0" applyFont="1" applyAlignment="1" applyProtection="1">
      <alignment vertical="center"/>
      <protection hidden="1"/>
    </xf>
    <xf numFmtId="0" fontId="66" fillId="0" borderId="0" xfId="0" applyFont="1" applyAlignment="1" applyProtection="1">
      <alignment horizontal="left"/>
      <protection hidden="1"/>
    </xf>
    <xf numFmtId="0" fontId="66" fillId="0" borderId="0" xfId="0" applyFont="1" applyProtection="1">
      <protection hidden="1"/>
    </xf>
    <xf numFmtId="0" fontId="66" fillId="0" borderId="0" xfId="0" applyFont="1" applyAlignment="1" applyProtection="1">
      <alignment horizontal="center"/>
      <protection hidden="1"/>
    </xf>
    <xf numFmtId="0" fontId="58" fillId="0" borderId="0" xfId="0" applyFont="1" applyAlignment="1" applyProtection="1">
      <alignment horizontal="center"/>
      <protection hidden="1"/>
    </xf>
    <xf numFmtId="0" fontId="66" fillId="0" borderId="0" xfId="0" applyFont="1" applyAlignment="1" applyProtection="1">
      <alignment horizontal="center" wrapText="1"/>
      <protection hidden="1"/>
    </xf>
    <xf numFmtId="166" fontId="58" fillId="0" borderId="0" xfId="0" applyNumberFormat="1" applyFont="1" applyAlignment="1" applyProtection="1">
      <alignment horizontal="center"/>
      <protection hidden="1"/>
    </xf>
    <xf numFmtId="0" fontId="15" fillId="0" borderId="0" xfId="0" applyFont="1" applyAlignment="1" applyProtection="1">
      <alignment vertical="center" wrapText="1"/>
      <protection hidden="1"/>
    </xf>
    <xf numFmtId="0" fontId="22" fillId="0" borderId="0" xfId="0" applyFont="1" applyProtection="1">
      <protection hidden="1"/>
    </xf>
    <xf numFmtId="0" fontId="15" fillId="0" borderId="0" xfId="0" applyFont="1" applyProtection="1">
      <protection hidden="1"/>
    </xf>
    <xf numFmtId="0" fontId="22" fillId="0" borderId="0" xfId="0" applyFont="1" applyAlignment="1" applyProtection="1">
      <alignment horizontal="right"/>
      <protection hidden="1"/>
    </xf>
    <xf numFmtId="0" fontId="68" fillId="0" borderId="0" xfId="0" applyFont="1" applyProtection="1">
      <protection hidden="1"/>
    </xf>
    <xf numFmtId="0" fontId="69" fillId="0" borderId="0" xfId="0" applyFont="1" applyAlignment="1" applyProtection="1">
      <alignment horizontal="right"/>
      <protection hidden="1"/>
    </xf>
    <xf numFmtId="0" fontId="22" fillId="0" borderId="13" xfId="0" applyFont="1" applyBorder="1" applyProtection="1">
      <protection hidden="1"/>
    </xf>
    <xf numFmtId="0" fontId="15" fillId="0" borderId="13" xfId="0" applyFont="1" applyBorder="1" applyProtection="1">
      <protection hidden="1"/>
    </xf>
    <xf numFmtId="0" fontId="15" fillId="0" borderId="13" xfId="0" applyFont="1" applyBorder="1" applyAlignment="1" applyProtection="1">
      <alignment vertical="center" wrapText="1"/>
      <protection hidden="1"/>
    </xf>
    <xf numFmtId="0" fontId="28" fillId="0" borderId="0" xfId="0" applyFont="1" applyAlignment="1" applyProtection="1">
      <alignment vertical="center"/>
      <protection hidden="1"/>
    </xf>
    <xf numFmtId="0" fontId="28" fillId="0" borderId="0" xfId="0" applyFont="1" applyProtection="1">
      <protection hidden="1"/>
    </xf>
    <xf numFmtId="0" fontId="28" fillId="0" borderId="0" xfId="0" applyFont="1" applyAlignment="1" applyProtection="1">
      <alignment horizontal="right" vertical="center"/>
      <protection hidden="1"/>
    </xf>
    <xf numFmtId="0" fontId="28" fillId="0" borderId="0" xfId="0" applyFont="1" applyAlignment="1" applyProtection="1">
      <alignment vertical="center" wrapText="1"/>
      <protection hidden="1"/>
    </xf>
    <xf numFmtId="0" fontId="70" fillId="0" borderId="0" xfId="0" applyFont="1" applyAlignment="1" applyProtection="1">
      <alignment vertical="center"/>
      <protection hidden="1"/>
    </xf>
    <xf numFmtId="0" fontId="71" fillId="0" borderId="0" xfId="0" applyFont="1" applyAlignment="1" applyProtection="1">
      <alignment horizontal="left" vertical="top"/>
      <protection hidden="1"/>
    </xf>
    <xf numFmtId="0" fontId="72" fillId="0" borderId="0" xfId="0" applyFont="1" applyAlignment="1" applyProtection="1">
      <alignment horizontal="left" vertical="top"/>
      <protection hidden="1"/>
    </xf>
    <xf numFmtId="0" fontId="73" fillId="0" borderId="0" xfId="0" applyFont="1" applyProtection="1">
      <protection hidden="1"/>
    </xf>
    <xf numFmtId="0" fontId="23" fillId="0" borderId="0" xfId="0" applyFont="1" applyAlignment="1" applyProtection="1">
      <alignment horizontal="right" vertical="top"/>
      <protection hidden="1"/>
    </xf>
    <xf numFmtId="0" fontId="74" fillId="0" borderId="0" xfId="0" applyFont="1" applyProtection="1">
      <protection hidden="1"/>
    </xf>
    <xf numFmtId="0" fontId="75" fillId="0" borderId="0" xfId="0" applyFont="1" applyAlignment="1" applyProtection="1">
      <alignment horizontal="right" vertical="top"/>
      <protection hidden="1"/>
    </xf>
    <xf numFmtId="0" fontId="75" fillId="0" borderId="0" xfId="0" applyFont="1" applyAlignment="1" applyProtection="1">
      <alignment horizontal="left" vertical="top"/>
      <protection hidden="1"/>
    </xf>
    <xf numFmtId="0" fontId="23" fillId="0" borderId="0" xfId="0" applyFont="1" applyAlignment="1" applyProtection="1">
      <alignment horizontal="left" vertical="top"/>
      <protection hidden="1"/>
    </xf>
    <xf numFmtId="0" fontId="23" fillId="0" borderId="0" xfId="0" applyFont="1" applyAlignment="1" applyProtection="1">
      <alignment vertical="top"/>
      <protection hidden="1"/>
    </xf>
    <xf numFmtId="0" fontId="75" fillId="0" borderId="0" xfId="0" applyFont="1" applyAlignment="1" applyProtection="1">
      <alignment horizontal="left" vertical="top" wrapText="1"/>
      <protection hidden="1"/>
    </xf>
    <xf numFmtId="0" fontId="23" fillId="0" borderId="0" xfId="0" applyFont="1" applyAlignment="1" applyProtection="1">
      <alignment vertical="center"/>
      <protection hidden="1"/>
    </xf>
    <xf numFmtId="0" fontId="76" fillId="0" borderId="0" xfId="0" applyFont="1" applyAlignment="1" applyProtection="1">
      <alignment horizontal="left" vertical="center" wrapText="1"/>
      <protection hidden="1"/>
    </xf>
    <xf numFmtId="0" fontId="75" fillId="0" borderId="13" xfId="0" applyFont="1" applyBorder="1" applyAlignment="1" applyProtection="1">
      <alignment horizontal="left" vertical="top" wrapText="1"/>
      <protection hidden="1"/>
    </xf>
    <xf numFmtId="0" fontId="75" fillId="0" borderId="0" xfId="0" applyFont="1" applyAlignment="1" applyProtection="1">
      <alignment vertical="top"/>
      <protection hidden="1"/>
    </xf>
    <xf numFmtId="0" fontId="0" fillId="0" borderId="0" xfId="0" applyProtection="1">
      <protection hidden="1"/>
    </xf>
    <xf numFmtId="0" fontId="77" fillId="0" borderId="0" xfId="0" applyFont="1" applyAlignment="1" applyProtection="1">
      <alignment vertical="center"/>
      <protection hidden="1"/>
    </xf>
    <xf numFmtId="0" fontId="77" fillId="0" borderId="0" xfId="0" applyFont="1" applyAlignment="1" applyProtection="1">
      <alignment horizontal="left" vertical="center"/>
      <protection hidden="1"/>
    </xf>
    <xf numFmtId="0" fontId="78" fillId="0" borderId="0" xfId="0" applyFont="1" applyProtection="1">
      <protection hidden="1"/>
    </xf>
    <xf numFmtId="0" fontId="58" fillId="0" borderId="0" xfId="0" applyFont="1" applyAlignment="1" applyProtection="1">
      <alignment horizontal="center" vertical="top"/>
      <protection hidden="1"/>
    </xf>
    <xf numFmtId="0" fontId="58" fillId="0" borderId="0" xfId="0" applyFont="1" applyAlignment="1" applyProtection="1">
      <alignment horizontal="left" vertical="top"/>
      <protection hidden="1"/>
    </xf>
    <xf numFmtId="0" fontId="58" fillId="0" borderId="0" xfId="0" applyFont="1" applyAlignment="1" applyProtection="1">
      <alignment vertical="top"/>
      <protection hidden="1"/>
    </xf>
    <xf numFmtId="0" fontId="15" fillId="0" borderId="0" xfId="0" applyFont="1" applyAlignment="1" applyProtection="1">
      <alignment horizontal="center" vertical="top"/>
      <protection hidden="1"/>
    </xf>
    <xf numFmtId="0" fontId="15" fillId="0" borderId="0" xfId="0" applyFont="1" applyAlignment="1" applyProtection="1">
      <alignment horizontal="left" vertical="top"/>
      <protection hidden="1"/>
    </xf>
    <xf numFmtId="0" fontId="49" fillId="0" borderId="0" xfId="0" applyFont="1" applyProtection="1">
      <protection hidden="1"/>
    </xf>
    <xf numFmtId="0" fontId="49" fillId="10" borderId="0" xfId="0" applyFont="1" applyFill="1" applyProtection="1">
      <protection hidden="1"/>
    </xf>
    <xf numFmtId="0" fontId="7" fillId="0" borderId="0" xfId="0" applyFont="1" applyAlignment="1" applyProtection="1">
      <alignment horizontal="center" vertical="top"/>
      <protection hidden="1"/>
    </xf>
    <xf numFmtId="0" fontId="15" fillId="0" borderId="0" xfId="0" applyFont="1" applyAlignment="1" applyProtection="1">
      <alignment vertical="top"/>
      <protection hidden="1"/>
    </xf>
    <xf numFmtId="0" fontId="20" fillId="0" borderId="0" xfId="0" applyFont="1" applyAlignment="1" applyProtection="1">
      <alignment horizontal="left"/>
      <protection hidden="1"/>
    </xf>
    <xf numFmtId="0" fontId="80" fillId="0" borderId="0" xfId="0" applyFont="1" applyProtection="1">
      <protection hidden="1"/>
    </xf>
    <xf numFmtId="0" fontId="58" fillId="0" borderId="0" xfId="0" applyFont="1" applyAlignment="1" applyProtection="1">
      <alignment horizontal="right" vertical="top"/>
      <protection hidden="1"/>
    </xf>
    <xf numFmtId="0" fontId="45" fillId="0" borderId="0" xfId="68" applyAlignment="1" applyProtection="1">
      <alignment horizontal="left" vertical="center"/>
      <protection hidden="1"/>
    </xf>
    <xf numFmtId="0" fontId="79" fillId="0" borderId="0" xfId="69" applyFont="1" applyAlignment="1" applyProtection="1">
      <alignment vertical="top"/>
      <protection hidden="1"/>
    </xf>
    <xf numFmtId="0" fontId="60" fillId="0" borderId="0" xfId="0" applyFont="1" applyAlignment="1" applyProtection="1">
      <alignment vertical="top"/>
      <protection hidden="1"/>
    </xf>
    <xf numFmtId="0" fontId="60" fillId="0" borderId="0" xfId="0" applyFont="1" applyAlignment="1" applyProtection="1">
      <alignment horizontal="right" vertical="top"/>
      <protection hidden="1"/>
    </xf>
    <xf numFmtId="0" fontId="7" fillId="0" borderId="0" xfId="0" applyFont="1" applyAlignment="1" applyProtection="1">
      <alignment vertical="top"/>
      <protection hidden="1"/>
    </xf>
    <xf numFmtId="0" fontId="64" fillId="0" borderId="0" xfId="0" applyFont="1" applyAlignment="1" applyProtection="1">
      <alignment vertical="top"/>
      <protection hidden="1"/>
    </xf>
    <xf numFmtId="0" fontId="8" fillId="0" borderId="0" xfId="0" applyFont="1" applyAlignment="1" applyProtection="1">
      <alignment vertical="top"/>
      <protection hidden="1"/>
    </xf>
    <xf numFmtId="0" fontId="10" fillId="0" borderId="0" xfId="0" applyFont="1" applyAlignment="1" applyProtection="1">
      <alignment vertical="top"/>
      <protection hidden="1"/>
    </xf>
    <xf numFmtId="0" fontId="15" fillId="0" borderId="0" xfId="0" applyFont="1" applyAlignment="1" applyProtection="1">
      <alignment horizontal="right" vertical="top"/>
      <protection hidden="1"/>
    </xf>
    <xf numFmtId="0" fontId="60" fillId="0" borderId="0" xfId="0" applyFont="1" applyAlignment="1" applyProtection="1">
      <alignment horizontal="left" vertical="center" indent="5"/>
      <protection hidden="1"/>
    </xf>
    <xf numFmtId="0" fontId="68" fillId="0" borderId="0" xfId="0" applyFont="1" applyAlignment="1" applyProtection="1">
      <alignment horizontal="left" vertical="center" indent="5"/>
      <protection hidden="1"/>
    </xf>
    <xf numFmtId="0" fontId="0" fillId="0" borderId="0" xfId="0" applyAlignment="1" applyProtection="1">
      <alignment vertical="top"/>
      <protection hidden="1"/>
    </xf>
    <xf numFmtId="0" fontId="69" fillId="0" borderId="0" xfId="0" applyFont="1" applyProtection="1">
      <protection hidden="1"/>
    </xf>
    <xf numFmtId="0" fontId="0" fillId="0" borderId="13" xfId="0" applyBorder="1" applyAlignment="1" applyProtection="1">
      <alignment vertical="top"/>
      <protection hidden="1"/>
    </xf>
    <xf numFmtId="0" fontId="0" fillId="0" borderId="13" xfId="0" applyBorder="1" applyProtection="1">
      <protection hidden="1"/>
    </xf>
    <xf numFmtId="0" fontId="69" fillId="0" borderId="13" xfId="0" applyFont="1" applyBorder="1" applyProtection="1">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3" fillId="0" borderId="44" xfId="0" applyFont="1" applyBorder="1" applyAlignment="1" applyProtection="1">
      <alignment vertical="center"/>
      <protection hidden="1"/>
    </xf>
    <xf numFmtId="0" fontId="84" fillId="0" borderId="44" xfId="0" applyFont="1" applyBorder="1" applyAlignment="1" applyProtection="1">
      <alignment vertical="center"/>
      <protection hidden="1"/>
    </xf>
    <xf numFmtId="0" fontId="58" fillId="0" borderId="44" xfId="0" applyFont="1" applyBorder="1" applyProtection="1">
      <protection hidden="1"/>
    </xf>
    <xf numFmtId="0" fontId="58" fillId="0" borderId="0" xfId="0" applyFont="1" applyAlignment="1" applyProtection="1">
      <alignment horizontal="left" vertical="center" indent="8"/>
      <protection hidden="1"/>
    </xf>
    <xf numFmtId="0" fontId="58" fillId="0" borderId="0" xfId="0" applyFont="1" applyAlignment="1" applyProtection="1">
      <alignment horizontal="left" vertical="center"/>
      <protection hidden="1"/>
    </xf>
    <xf numFmtId="0" fontId="69" fillId="0" borderId="0" xfId="0" applyFont="1" applyAlignment="1" applyProtection="1">
      <alignment horizontal="left" vertical="center" indent="8"/>
      <protection hidden="1"/>
    </xf>
    <xf numFmtId="0" fontId="15" fillId="5" borderId="0" xfId="0" applyFont="1" applyFill="1" applyProtection="1">
      <protection hidden="1"/>
    </xf>
    <xf numFmtId="0" fontId="58" fillId="5" borderId="0" xfId="0" applyFont="1" applyFill="1" applyProtection="1">
      <protection hidden="1"/>
    </xf>
    <xf numFmtId="0" fontId="58" fillId="5" borderId="0" xfId="0" applyFont="1" applyFill="1" applyAlignment="1" applyProtection="1">
      <alignment horizontal="left" vertical="center" indent="8"/>
      <protection hidden="1"/>
    </xf>
    <xf numFmtId="0" fontId="60" fillId="5" borderId="0" xfId="0" applyFont="1" applyFill="1" applyProtection="1">
      <protection hidden="1"/>
    </xf>
    <xf numFmtId="0" fontId="60" fillId="0" borderId="0" xfId="0" applyFont="1" applyProtection="1">
      <protection hidden="1"/>
    </xf>
    <xf numFmtId="0" fontId="68" fillId="5" borderId="0" xfId="0" applyFont="1" applyFill="1" applyAlignment="1" applyProtection="1">
      <alignment horizontal="left" wrapText="1"/>
      <protection hidden="1"/>
    </xf>
    <xf numFmtId="0" fontId="68" fillId="5" borderId="0" xfId="0" applyFont="1" applyFill="1" applyProtection="1">
      <protection hidden="1"/>
    </xf>
    <xf numFmtId="0" fontId="14" fillId="0" borderId="0" xfId="0" applyFont="1" applyAlignment="1" applyProtection="1">
      <alignment vertical="center" wrapText="1"/>
      <protection hidden="1"/>
    </xf>
    <xf numFmtId="0" fontId="15" fillId="0" borderId="23" xfId="0" applyFont="1" applyBorder="1" applyAlignment="1" applyProtection="1">
      <alignment horizontal="center" vertical="center"/>
      <protection hidden="1"/>
    </xf>
    <xf numFmtId="0" fontId="58" fillId="0" borderId="2" xfId="0" applyFont="1" applyBorder="1" applyAlignment="1" applyProtection="1">
      <alignment vertical="center" wrapText="1"/>
      <protection hidden="1"/>
    </xf>
    <xf numFmtId="167" fontId="15" fillId="0" borderId="2" xfId="41" applyNumberFormat="1" applyFont="1" applyBorder="1" applyAlignment="1" applyProtection="1">
      <alignment horizontal="center" vertical="center" wrapText="1"/>
      <protection hidden="1"/>
    </xf>
    <xf numFmtId="0" fontId="8" fillId="0" borderId="15" xfId="0" applyFont="1" applyBorder="1" applyProtection="1">
      <protection hidden="1"/>
    </xf>
    <xf numFmtId="169" fontId="15" fillId="0" borderId="24" xfId="39" applyNumberFormat="1" applyFont="1" applyBorder="1" applyAlignment="1" applyProtection="1">
      <alignment vertical="center" wrapText="1"/>
      <protection hidden="1"/>
    </xf>
    <xf numFmtId="167" fontId="15" fillId="0" borderId="2" xfId="41" applyNumberFormat="1" applyFont="1" applyBorder="1" applyAlignment="1" applyProtection="1">
      <alignment horizontal="center" vertical="center"/>
      <protection hidden="1"/>
    </xf>
    <xf numFmtId="0" fontId="15" fillId="0" borderId="2" xfId="0" applyFont="1" applyBorder="1" applyAlignment="1" applyProtection="1">
      <alignment vertical="center"/>
      <protection hidden="1"/>
    </xf>
    <xf numFmtId="170" fontId="15" fillId="0" borderId="2" xfId="3" applyNumberFormat="1" applyFont="1" applyBorder="1" applyAlignment="1" applyProtection="1">
      <alignment horizontal="center" vertical="center" wrapText="1"/>
      <protection hidden="1"/>
    </xf>
    <xf numFmtId="43" fontId="15" fillId="0" borderId="2" xfId="3" applyFont="1" applyBorder="1" applyAlignment="1" applyProtection="1">
      <alignment horizontal="center" vertical="center" wrapText="1"/>
      <protection hidden="1"/>
    </xf>
    <xf numFmtId="0" fontId="15" fillId="0" borderId="23" xfId="0" applyFont="1" applyBorder="1" applyAlignment="1" applyProtection="1">
      <alignment horizontal="center" vertical="center" wrapText="1"/>
      <protection hidden="1"/>
    </xf>
    <xf numFmtId="0" fontId="15" fillId="0" borderId="2" xfId="0" applyFont="1" applyBorder="1" applyAlignment="1" applyProtection="1">
      <alignment horizontal="left" vertical="center" wrapText="1"/>
      <protection hidden="1"/>
    </xf>
    <xf numFmtId="167" fontId="15" fillId="0" borderId="2" xfId="41" applyNumberFormat="1" applyFont="1" applyBorder="1" applyAlignment="1" applyProtection="1">
      <alignment horizontal="left" vertical="center" wrapText="1"/>
      <protection hidden="1"/>
    </xf>
    <xf numFmtId="0" fontId="16" fillId="0" borderId="22" xfId="0" applyFont="1" applyBorder="1" applyAlignment="1" applyProtection="1">
      <alignment horizontal="right"/>
      <protection hidden="1"/>
    </xf>
    <xf numFmtId="169" fontId="85" fillId="0" borderId="25" xfId="39" applyNumberFormat="1" applyFont="1" applyBorder="1" applyProtection="1">
      <protection hidden="1"/>
    </xf>
    <xf numFmtId="0" fontId="15" fillId="0" borderId="0" xfId="0" applyFont="1" applyAlignment="1" applyProtection="1">
      <alignment horizontal="center" vertical="center" wrapText="1"/>
      <protection hidden="1"/>
    </xf>
    <xf numFmtId="0" fontId="16" fillId="0" borderId="0" xfId="0" applyFont="1" applyAlignment="1" applyProtection="1">
      <alignment horizontal="right"/>
      <protection hidden="1"/>
    </xf>
    <xf numFmtId="169" fontId="85" fillId="0" borderId="0" xfId="39" applyNumberFormat="1" applyFont="1" applyProtection="1">
      <protection hidden="1"/>
    </xf>
    <xf numFmtId="0" fontId="0" fillId="0" borderId="0" xfId="0" applyAlignment="1" applyProtection="1">
      <alignment horizontal="center"/>
      <protection hidden="1"/>
    </xf>
    <xf numFmtId="0" fontId="28" fillId="0" borderId="12" xfId="0" applyFont="1" applyBorder="1" applyProtection="1">
      <protection hidden="1"/>
    </xf>
    <xf numFmtId="0" fontId="58" fillId="0" borderId="12" xfId="0" applyFont="1" applyBorder="1" applyProtection="1">
      <protection hidden="1"/>
    </xf>
    <xf numFmtId="0" fontId="0" fillId="0" borderId="12" xfId="0" applyBorder="1" applyProtection="1">
      <protection hidden="1"/>
    </xf>
    <xf numFmtId="0" fontId="0" fillId="0" borderId="12" xfId="0" applyBorder="1" applyAlignment="1" applyProtection="1">
      <alignment horizontal="center"/>
      <protection hidden="1"/>
    </xf>
    <xf numFmtId="0" fontId="28" fillId="0" borderId="12" xfId="0" applyFont="1" applyBorder="1" applyAlignment="1" applyProtection="1">
      <alignment horizontal="right" vertical="center"/>
      <protection hidden="1"/>
    </xf>
    <xf numFmtId="0" fontId="28" fillId="0" borderId="12" xfId="0" applyFont="1" applyBorder="1" applyAlignment="1" applyProtection="1">
      <alignment vertical="center" wrapText="1"/>
      <protection hidden="1"/>
    </xf>
    <xf numFmtId="0" fontId="64" fillId="0" borderId="0" xfId="0" applyFont="1" applyAlignment="1" applyProtection="1">
      <alignment horizontal="right"/>
      <protection hidden="1"/>
    </xf>
    <xf numFmtId="0" fontId="64" fillId="0" borderId="0" xfId="0" applyFont="1" applyProtection="1">
      <protection hidden="1"/>
    </xf>
    <xf numFmtId="0" fontId="86" fillId="0" borderId="6" xfId="0" applyFont="1" applyBorder="1" applyProtection="1">
      <protection hidden="1"/>
    </xf>
    <xf numFmtId="0" fontId="86" fillId="0" borderId="0" xfId="0" applyFont="1" applyProtection="1">
      <protection hidden="1"/>
    </xf>
    <xf numFmtId="0" fontId="64" fillId="0" borderId="10" xfId="0" applyFont="1" applyBorder="1" applyProtection="1">
      <protection hidden="1"/>
    </xf>
    <xf numFmtId="0" fontId="58" fillId="0" borderId="6" xfId="0" applyFont="1" applyBorder="1" applyProtection="1">
      <protection hidden="1"/>
    </xf>
    <xf numFmtId="0" fontId="64" fillId="0" borderId="6" xfId="0" applyFont="1" applyBorder="1" applyAlignment="1" applyProtection="1">
      <alignment horizontal="right"/>
      <protection hidden="1"/>
    </xf>
    <xf numFmtId="0" fontId="0" fillId="0" borderId="6" xfId="0" applyBorder="1" applyProtection="1">
      <protection hidden="1"/>
    </xf>
    <xf numFmtId="0" fontId="64" fillId="0" borderId="6" xfId="0" applyFont="1" applyBorder="1" applyProtection="1">
      <protection hidden="1"/>
    </xf>
    <xf numFmtId="0" fontId="64" fillId="0" borderId="12" xfId="0" applyFont="1" applyBorder="1" applyProtection="1">
      <protection hidden="1"/>
    </xf>
    <xf numFmtId="0" fontId="64" fillId="0" borderId="8" xfId="0" applyFont="1" applyBorder="1" applyProtection="1">
      <protection hidden="1"/>
    </xf>
    <xf numFmtId="0" fontId="64" fillId="0" borderId="13" xfId="0" applyFont="1" applyBorder="1" applyProtection="1">
      <protection hidden="1"/>
    </xf>
    <xf numFmtId="0" fontId="87" fillId="0" borderId="0" xfId="0" applyFont="1" applyAlignment="1" applyProtection="1">
      <alignment vertical="center"/>
      <protection hidden="1"/>
    </xf>
    <xf numFmtId="0" fontId="88" fillId="0" borderId="0" xfId="0" applyFont="1" applyAlignment="1" applyProtection="1">
      <alignment vertical="center"/>
      <protection hidden="1"/>
    </xf>
    <xf numFmtId="0" fontId="31" fillId="0" borderId="0" xfId="0" applyFont="1" applyAlignment="1" applyProtection="1">
      <alignment vertical="center" wrapText="1"/>
      <protection hidden="1"/>
    </xf>
    <xf numFmtId="0" fontId="31" fillId="0" borderId="0" xfId="0" applyFont="1" applyAlignment="1" applyProtection="1">
      <alignment horizontal="center" vertical="center" wrapText="1"/>
      <protection hidden="1"/>
    </xf>
    <xf numFmtId="0" fontId="64"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5" fillId="0" borderId="2" xfId="0" applyFont="1" applyBorder="1" applyAlignment="1" applyProtection="1">
      <alignment horizontal="center" vertical="center"/>
      <protection hidden="1"/>
    </xf>
    <xf numFmtId="0" fontId="66" fillId="0" borderId="0" xfId="0" applyFont="1" applyAlignment="1" applyProtection="1">
      <alignment vertical="top"/>
      <protection hidden="1"/>
    </xf>
    <xf numFmtId="169" fontId="85" fillId="0" borderId="0" xfId="39" applyNumberFormat="1" applyFont="1" applyBorder="1" applyProtection="1">
      <protection hidden="1"/>
    </xf>
    <xf numFmtId="0" fontId="36" fillId="0" borderId="0" xfId="0" applyFont="1" applyAlignment="1" applyProtection="1">
      <alignment horizontal="center" vertical="center" wrapText="1"/>
      <protection hidden="1"/>
    </xf>
    <xf numFmtId="0" fontId="89" fillId="0" borderId="0" xfId="0" applyFont="1"/>
    <xf numFmtId="0" fontId="37" fillId="0" borderId="0" xfId="0" applyFont="1" applyAlignment="1" applyProtection="1">
      <alignment horizontal="right"/>
      <protection hidden="1"/>
    </xf>
    <xf numFmtId="169" fontId="90" fillId="0" borderId="0" xfId="39" applyNumberFormat="1" applyFont="1" applyBorder="1" applyProtection="1">
      <protection hidden="1"/>
    </xf>
    <xf numFmtId="0" fontId="89" fillId="0" borderId="0" xfId="0" applyFont="1" applyProtection="1">
      <protection hidden="1"/>
    </xf>
    <xf numFmtId="2" fontId="38" fillId="0" borderId="5" xfId="0" applyNumberFormat="1" applyFont="1" applyBorder="1" applyAlignment="1">
      <alignment horizontal="center" vertical="center"/>
    </xf>
    <xf numFmtId="0" fontId="58" fillId="0" borderId="45" xfId="0" applyFont="1" applyBorder="1" applyProtection="1">
      <protection hidden="1"/>
    </xf>
    <xf numFmtId="0" fontId="64" fillId="0" borderId="0" xfId="0" applyFont="1" applyAlignment="1" applyProtection="1">
      <alignment wrapText="1"/>
      <protection hidden="1"/>
    </xf>
    <xf numFmtId="0" fontId="15" fillId="0" borderId="0" xfId="0" applyFont="1" applyAlignment="1" applyProtection="1">
      <alignment horizontal="left" vertical="top" wrapText="1"/>
      <protection hidden="1"/>
    </xf>
    <xf numFmtId="170" fontId="15" fillId="0" borderId="19" xfId="3" applyNumberFormat="1" applyFont="1" applyBorder="1" applyAlignment="1" applyProtection="1">
      <alignment horizontal="center" vertical="center" wrapText="1"/>
      <protection hidden="1"/>
    </xf>
    <xf numFmtId="167" fontId="15" fillId="0" borderId="19" xfId="41" applyNumberFormat="1" applyFont="1" applyBorder="1" applyAlignment="1" applyProtection="1">
      <alignment horizontal="center" vertical="center" wrapText="1"/>
      <protection hidden="1"/>
    </xf>
    <xf numFmtId="170" fontId="15" fillId="3" borderId="20" xfId="3" applyNumberFormat="1" applyFont="1" applyFill="1" applyBorder="1" applyAlignment="1" applyProtection="1">
      <alignment horizontal="center" vertical="center"/>
      <protection locked="0"/>
    </xf>
    <xf numFmtId="0" fontId="15" fillId="0" borderId="3" xfId="0" applyFont="1" applyBorder="1" applyProtection="1">
      <protection hidden="1"/>
    </xf>
    <xf numFmtId="0" fontId="15" fillId="0" borderId="14" xfId="0" applyFont="1" applyBorder="1" applyProtection="1">
      <protection hidden="1"/>
    </xf>
    <xf numFmtId="2" fontId="92" fillId="0" borderId="8" xfId="71" applyNumberFormat="1" applyFont="1" applyBorder="1" applyAlignment="1">
      <alignment horizontal="left" vertical="center" wrapText="1"/>
    </xf>
    <xf numFmtId="0" fontId="64" fillId="0" borderId="0" xfId="0" applyFont="1" applyAlignment="1">
      <alignment horizontal="left"/>
    </xf>
    <xf numFmtId="0" fontId="93" fillId="12" borderId="3" xfId="71" applyFont="1" applyFill="1" applyBorder="1" applyAlignment="1">
      <alignment horizontal="center" vertical="center" wrapText="1"/>
    </xf>
    <xf numFmtId="167" fontId="15" fillId="0" borderId="20" xfId="41" applyNumberFormat="1" applyFont="1" applyBorder="1" applyAlignment="1" applyProtection="1">
      <alignment horizontal="center" vertical="center" wrapText="1"/>
      <protection hidden="1"/>
    </xf>
    <xf numFmtId="170" fontId="15" fillId="0" borderId="4" xfId="3" applyNumberFormat="1" applyFont="1" applyBorder="1" applyAlignment="1" applyProtection="1">
      <alignment vertical="center"/>
      <protection hidden="1"/>
    </xf>
    <xf numFmtId="0" fontId="0" fillId="0" borderId="2" xfId="0" applyBorder="1" applyProtection="1">
      <protection locked="0"/>
    </xf>
    <xf numFmtId="2" fontId="15" fillId="3" borderId="2" xfId="3" applyNumberFormat="1" applyFont="1" applyFill="1" applyBorder="1" applyAlignment="1" applyProtection="1">
      <alignment horizontal="center" vertical="center"/>
      <protection locked="0"/>
    </xf>
    <xf numFmtId="0" fontId="45" fillId="0" borderId="0" xfId="68"/>
    <xf numFmtId="167" fontId="15" fillId="0" borderId="2" xfId="41" applyNumberFormat="1" applyFont="1" applyFill="1" applyBorder="1" applyAlignment="1" applyProtection="1">
      <alignment horizontal="center" vertical="center" wrapText="1"/>
      <protection hidden="1"/>
    </xf>
    <xf numFmtId="0" fontId="0" fillId="14" borderId="2" xfId="0" applyFill="1" applyBorder="1"/>
    <xf numFmtId="0" fontId="0" fillId="14" borderId="2" xfId="0" applyFill="1" applyBorder="1" applyAlignment="1">
      <alignment vertical="center"/>
    </xf>
    <xf numFmtId="170" fontId="15" fillId="0" borderId="8" xfId="3" applyNumberFormat="1" applyFont="1" applyBorder="1" applyAlignment="1" applyProtection="1">
      <alignment vertical="center"/>
      <protection hidden="1"/>
    </xf>
    <xf numFmtId="170" fontId="15" fillId="0" borderId="13" xfId="3" applyNumberFormat="1" applyFont="1" applyBorder="1" applyAlignment="1" applyProtection="1">
      <alignment vertical="center"/>
      <protection hidden="1"/>
    </xf>
    <xf numFmtId="0" fontId="0" fillId="15" borderId="2" xfId="0" applyFill="1" applyBorder="1"/>
    <xf numFmtId="0" fontId="67" fillId="13" borderId="46" xfId="0" applyFont="1" applyFill="1" applyBorder="1" applyAlignment="1" applyProtection="1">
      <alignment vertical="center"/>
      <protection hidden="1"/>
    </xf>
    <xf numFmtId="1" fontId="15" fillId="3" borderId="2" xfId="3" applyNumberFormat="1" applyFont="1" applyFill="1" applyBorder="1" applyAlignment="1" applyProtection="1">
      <alignment horizontal="center" vertical="center"/>
      <protection locked="0"/>
    </xf>
    <xf numFmtId="0" fontId="7" fillId="0" borderId="26" xfId="0" applyFont="1" applyBorder="1" applyAlignment="1" applyProtection="1">
      <alignment vertical="center" wrapText="1"/>
      <protection hidden="1"/>
    </xf>
    <xf numFmtId="170" fontId="15" fillId="3" borderId="4" xfId="3" applyNumberFormat="1" applyFont="1" applyFill="1" applyBorder="1" applyAlignment="1" applyProtection="1">
      <alignment horizontal="center" vertical="center"/>
      <protection locked="0"/>
    </xf>
    <xf numFmtId="0" fontId="0" fillId="9" borderId="2" xfId="0" applyFill="1" applyBorder="1"/>
    <xf numFmtId="0" fontId="47" fillId="16" borderId="6" xfId="0" applyFont="1" applyFill="1" applyBorder="1" applyAlignment="1">
      <alignment horizontal="right" vertical="center" indent="2"/>
    </xf>
    <xf numFmtId="2" fontId="92" fillId="0" borderId="27" xfId="71" applyNumberFormat="1" applyFont="1" applyBorder="1" applyAlignment="1">
      <alignment horizontal="left" vertical="center" wrapText="1"/>
    </xf>
    <xf numFmtId="2" fontId="92" fillId="0" borderId="18" xfId="71" applyNumberFormat="1" applyFont="1" applyBorder="1" applyAlignment="1">
      <alignment horizontal="left" vertical="center" wrapText="1"/>
    </xf>
    <xf numFmtId="2" fontId="92" fillId="0" borderId="28" xfId="71" applyNumberFormat="1" applyFont="1" applyBorder="1" applyAlignment="1">
      <alignment horizontal="left" vertical="center" wrapText="1"/>
    </xf>
    <xf numFmtId="2" fontId="92" fillId="0" borderId="29" xfId="71" applyNumberFormat="1" applyFont="1" applyBorder="1" applyAlignment="1">
      <alignment horizontal="left" vertical="center" wrapText="1"/>
    </xf>
    <xf numFmtId="2" fontId="92" fillId="0" borderId="24" xfId="71" applyNumberFormat="1" applyFont="1" applyBorder="1" applyAlignment="1">
      <alignment horizontal="left" vertical="center" wrapText="1"/>
    </xf>
    <xf numFmtId="2" fontId="92" fillId="0" borderId="30" xfId="71" applyNumberFormat="1" applyFont="1" applyBorder="1" applyAlignment="1">
      <alignment horizontal="left" vertical="center" wrapText="1"/>
    </xf>
    <xf numFmtId="2" fontId="92" fillId="0" borderId="31" xfId="71" applyNumberFormat="1" applyFont="1" applyBorder="1" applyAlignment="1">
      <alignment horizontal="left" vertical="center" wrapText="1"/>
    </xf>
    <xf numFmtId="2" fontId="92" fillId="0" borderId="25" xfId="71" applyNumberFormat="1" applyFont="1" applyBorder="1" applyAlignment="1">
      <alignment horizontal="left" vertical="center" wrapText="1"/>
    </xf>
    <xf numFmtId="0" fontId="94" fillId="17" borderId="0" xfId="0" applyFont="1" applyFill="1" applyAlignment="1" applyProtection="1">
      <alignment vertical="center"/>
      <protection hidden="1"/>
    </xf>
    <xf numFmtId="0" fontId="95" fillId="17" borderId="0" xfId="0" applyFont="1" applyFill="1" applyAlignment="1" applyProtection="1">
      <alignment vertical="center"/>
      <protection hidden="1"/>
    </xf>
    <xf numFmtId="0" fontId="96" fillId="17" borderId="0" xfId="0" applyFont="1" applyFill="1" applyAlignment="1" applyProtection="1">
      <alignment vertical="center"/>
      <protection hidden="1"/>
    </xf>
    <xf numFmtId="0" fontId="95" fillId="0" borderId="0" xfId="0" applyFont="1" applyAlignment="1" applyProtection="1">
      <alignment vertical="center"/>
      <protection hidden="1"/>
    </xf>
    <xf numFmtId="0" fontId="72" fillId="0" borderId="0" xfId="0" applyFont="1" applyAlignment="1" applyProtection="1">
      <alignment vertical="top"/>
      <protection hidden="1"/>
    </xf>
    <xf numFmtId="0" fontId="74" fillId="0" borderId="0" xfId="0" applyFont="1" applyAlignment="1" applyProtection="1">
      <alignment horizontal="left"/>
      <protection hidden="1"/>
    </xf>
    <xf numFmtId="0" fontId="73" fillId="0" borderId="0" xfId="0" applyFont="1" applyAlignment="1" applyProtection="1">
      <alignment horizontal="left"/>
      <protection hidden="1"/>
    </xf>
    <xf numFmtId="0" fontId="65" fillId="0" borderId="0" xfId="0" applyFont="1" applyAlignment="1" applyProtection="1">
      <alignment horizontal="left"/>
      <protection hidden="1"/>
    </xf>
    <xf numFmtId="0" fontId="58" fillId="0" borderId="0" xfId="0" applyFont="1" applyAlignment="1" applyProtection="1">
      <alignment horizontal="left"/>
      <protection hidden="1"/>
    </xf>
    <xf numFmtId="0" fontId="97" fillId="17" borderId="32" xfId="0" applyFont="1" applyFill="1" applyBorder="1" applyAlignment="1" applyProtection="1">
      <alignment horizontal="center" vertical="center" wrapText="1"/>
      <protection hidden="1"/>
    </xf>
    <xf numFmtId="0" fontId="97" fillId="17" borderId="14" xfId="0" applyFont="1" applyFill="1" applyBorder="1" applyAlignment="1" applyProtection="1">
      <alignment horizontal="center" vertical="center" wrapText="1"/>
      <protection hidden="1"/>
    </xf>
    <xf numFmtId="167" fontId="97" fillId="17" borderId="14" xfId="41" applyNumberFormat="1" applyFont="1" applyFill="1" applyBorder="1" applyAlignment="1" applyProtection="1">
      <alignment horizontal="center" vertical="center" wrapText="1"/>
      <protection hidden="1"/>
    </xf>
    <xf numFmtId="167" fontId="97" fillId="17" borderId="6" xfId="41" applyNumberFormat="1" applyFont="1" applyFill="1" applyBorder="1" applyAlignment="1" applyProtection="1">
      <alignment horizontal="center" vertical="center" wrapText="1"/>
      <protection hidden="1"/>
    </xf>
    <xf numFmtId="0" fontId="97" fillId="17" borderId="33" xfId="0" applyFont="1" applyFill="1" applyBorder="1" applyAlignment="1" applyProtection="1">
      <alignment horizontal="center" vertical="center" wrapText="1"/>
      <protection hidden="1"/>
    </xf>
    <xf numFmtId="0" fontId="98" fillId="17" borderId="34" xfId="0" applyFont="1" applyFill="1" applyBorder="1" applyAlignment="1">
      <alignment horizontal="center" vertical="center"/>
    </xf>
    <xf numFmtId="0" fontId="31" fillId="17" borderId="2" xfId="0" applyFont="1" applyFill="1" applyBorder="1" applyAlignment="1" applyProtection="1">
      <alignment horizontal="center" vertical="center" wrapText="1"/>
      <protection hidden="1"/>
    </xf>
    <xf numFmtId="0" fontId="31" fillId="17" borderId="2" xfId="73" applyFont="1" applyFill="1" applyBorder="1" applyAlignment="1" applyProtection="1">
      <alignment horizontal="center" vertical="center" wrapText="1"/>
      <protection hidden="1"/>
    </xf>
    <xf numFmtId="0" fontId="15" fillId="0" borderId="41" xfId="0" applyFont="1" applyBorder="1" applyAlignment="1" applyProtection="1">
      <alignment horizontal="center" vertical="center" wrapText="1"/>
      <protection hidden="1"/>
    </xf>
    <xf numFmtId="0" fontId="97" fillId="17" borderId="7" xfId="0" applyFont="1" applyFill="1" applyBorder="1" applyAlignment="1" applyProtection="1">
      <alignment horizontal="center" vertical="center" wrapText="1"/>
      <protection hidden="1"/>
    </xf>
    <xf numFmtId="2" fontId="15" fillId="13" borderId="2" xfId="3" applyNumberFormat="1" applyFont="1" applyFill="1" applyBorder="1" applyAlignment="1" applyProtection="1">
      <alignment horizontal="center" vertical="center"/>
    </xf>
    <xf numFmtId="0" fontId="66" fillId="0" borderId="0" xfId="0" applyFont="1" applyAlignment="1" applyProtection="1">
      <alignment horizontal="left" vertical="center" wrapText="1"/>
      <protection hidden="1"/>
    </xf>
    <xf numFmtId="0" fontId="66" fillId="0" borderId="0" xfId="0" applyFont="1" applyAlignment="1" applyProtection="1">
      <alignment horizontal="left" vertical="center"/>
      <protection hidden="1"/>
    </xf>
    <xf numFmtId="0" fontId="66" fillId="0" borderId="0" xfId="0" applyFont="1" applyAlignment="1" applyProtection="1">
      <alignment vertical="center"/>
      <protection hidden="1"/>
    </xf>
    <xf numFmtId="0" fontId="0" fillId="21" borderId="2" xfId="0" applyFill="1" applyBorder="1"/>
    <xf numFmtId="0" fontId="0" fillId="21" borderId="2" xfId="0" applyFill="1" applyBorder="1" applyProtection="1">
      <protection locked="0"/>
    </xf>
    <xf numFmtId="0" fontId="0" fillId="21" borderId="6" xfId="0" applyFill="1" applyBorder="1"/>
    <xf numFmtId="0" fontId="0" fillId="21" borderId="8" xfId="0" applyFill="1" applyBorder="1"/>
    <xf numFmtId="0" fontId="42" fillId="4" borderId="2" xfId="0" applyFont="1" applyFill="1" applyBorder="1"/>
    <xf numFmtId="0" fontId="42" fillId="4" borderId="2" xfId="0" applyFont="1" applyFill="1" applyBorder="1" applyProtection="1">
      <protection locked="0"/>
    </xf>
    <xf numFmtId="0" fontId="0" fillId="22" borderId="2" xfId="0" applyFill="1" applyBorder="1" applyProtection="1">
      <protection locked="0"/>
    </xf>
    <xf numFmtId="0" fontId="93" fillId="12" borderId="52" xfId="71" applyFont="1" applyFill="1" applyBorder="1" applyAlignment="1">
      <alignment vertical="center"/>
    </xf>
    <xf numFmtId="0" fontId="93" fillId="12" borderId="53" xfId="71" applyFont="1" applyFill="1" applyBorder="1" applyAlignment="1">
      <alignment vertical="center"/>
    </xf>
    <xf numFmtId="10" fontId="0" fillId="0" borderId="2" xfId="88" applyNumberFormat="1" applyFont="1" applyBorder="1" applyAlignment="1" applyProtection="1">
      <protection locked="0"/>
    </xf>
    <xf numFmtId="2" fontId="0" fillId="0" borderId="2" xfId="88" applyNumberFormat="1" applyFont="1" applyBorder="1" applyAlignment="1" applyProtection="1">
      <protection locked="0"/>
    </xf>
    <xf numFmtId="0" fontId="45" fillId="0" borderId="0" xfId="68" applyAlignment="1" applyProtection="1">
      <alignment horizontal="left" vertical="top"/>
      <protection hidden="1"/>
    </xf>
    <xf numFmtId="2" fontId="110" fillId="0" borderId="2" xfId="71" applyNumberFormat="1" applyFont="1" applyBorder="1" applyAlignment="1">
      <alignment horizontal="left" vertical="center" wrapText="1"/>
    </xf>
    <xf numFmtId="0" fontId="93" fillId="12" borderId="55" xfId="71" applyFont="1" applyFill="1" applyBorder="1" applyAlignment="1">
      <alignment vertical="center" wrapText="1"/>
    </xf>
    <xf numFmtId="0" fontId="93" fillId="12" borderId="16" xfId="71" applyFont="1" applyFill="1" applyBorder="1" applyAlignment="1">
      <alignment horizontal="center" vertical="center" wrapText="1"/>
    </xf>
    <xf numFmtId="0" fontId="93" fillId="12" borderId="28" xfId="71" applyFont="1" applyFill="1" applyBorder="1" applyAlignment="1">
      <alignment vertical="center" wrapText="1"/>
    </xf>
    <xf numFmtId="0" fontId="92" fillId="0" borderId="56" xfId="71" applyFont="1" applyBorder="1" applyAlignment="1">
      <alignment vertical="center" wrapText="1"/>
    </xf>
    <xf numFmtId="170" fontId="92" fillId="0" borderId="57" xfId="30" applyNumberFormat="1" applyFont="1" applyBorder="1" applyAlignment="1">
      <alignment vertical="center" wrapText="1"/>
    </xf>
    <xf numFmtId="170" fontId="92" fillId="0" borderId="16" xfId="30" applyNumberFormat="1" applyFont="1" applyBorder="1" applyAlignment="1">
      <alignment horizontal="right" vertical="center" wrapText="1"/>
    </xf>
    <xf numFmtId="39" fontId="92" fillId="0" borderId="16" xfId="30" applyNumberFormat="1" applyFont="1" applyBorder="1" applyAlignment="1">
      <alignment horizontal="right" vertical="center" wrapText="1"/>
    </xf>
    <xf numFmtId="0" fontId="0" fillId="0" borderId="58" xfId="0" applyBorder="1" applyProtection="1">
      <protection locked="0"/>
    </xf>
    <xf numFmtId="0" fontId="92" fillId="0" borderId="59" xfId="71" applyFont="1" applyBorder="1" applyAlignment="1">
      <alignment vertical="center" wrapText="1"/>
    </xf>
    <xf numFmtId="170" fontId="92" fillId="0" borderId="60" xfId="30" applyNumberFormat="1" applyFont="1" applyBorder="1" applyAlignment="1">
      <alignment vertical="center" wrapText="1"/>
    </xf>
    <xf numFmtId="170" fontId="92" fillId="0" borderId="2" xfId="30" applyNumberFormat="1" applyFont="1" applyBorder="1" applyAlignment="1">
      <alignment horizontal="right" vertical="center" wrapText="1"/>
    </xf>
    <xf numFmtId="39" fontId="92" fillId="0" borderId="2" xfId="30" applyNumberFormat="1" applyFont="1" applyBorder="1" applyAlignment="1">
      <alignment horizontal="right" vertical="center" wrapText="1"/>
    </xf>
    <xf numFmtId="0" fontId="0" fillId="0" borderId="36" xfId="0" applyBorder="1" applyProtection="1">
      <protection locked="0"/>
    </xf>
    <xf numFmtId="0" fontId="92" fillId="0" borderId="61" xfId="71" applyFont="1" applyBorder="1" applyAlignment="1">
      <alignment vertical="center" wrapText="1"/>
    </xf>
    <xf numFmtId="170" fontId="92" fillId="0" borderId="21" xfId="30" applyNumberFormat="1" applyFont="1" applyBorder="1" applyAlignment="1">
      <alignment vertical="center" wrapText="1"/>
    </xf>
    <xf numFmtId="170" fontId="92" fillId="0" borderId="21" xfId="30" applyNumberFormat="1" applyFont="1" applyBorder="1" applyAlignment="1">
      <alignment horizontal="right" vertical="center" wrapText="1"/>
    </xf>
    <xf numFmtId="39" fontId="92" fillId="0" borderId="21" xfId="30" applyNumberFormat="1" applyFont="1" applyBorder="1" applyAlignment="1">
      <alignment horizontal="right" vertical="center" wrapText="1"/>
    </xf>
    <xf numFmtId="0" fontId="0" fillId="0" borderId="62" xfId="0" applyBorder="1" applyProtection="1">
      <protection locked="0"/>
    </xf>
    <xf numFmtId="0" fontId="52" fillId="4" borderId="2" xfId="0" applyFont="1" applyFill="1" applyBorder="1" applyAlignment="1">
      <alignment horizontal="center" vertical="center" wrapText="1"/>
    </xf>
    <xf numFmtId="0" fontId="49" fillId="21" borderId="0" xfId="0" applyFont="1" applyFill="1"/>
    <xf numFmtId="0" fontId="42" fillId="4" borderId="6" xfId="0" applyFont="1" applyFill="1" applyBorder="1" applyAlignment="1">
      <alignment horizontal="center"/>
    </xf>
    <xf numFmtId="0" fontId="0" fillId="3" borderId="0" xfId="0" applyFill="1"/>
    <xf numFmtId="0" fontId="0" fillId="3" borderId="0" xfId="0" applyFill="1" applyAlignment="1">
      <alignment vertical="center" wrapText="1"/>
    </xf>
    <xf numFmtId="0" fontId="0" fillId="3" borderId="0" xfId="0" applyFill="1" applyAlignment="1">
      <alignment vertical="center"/>
    </xf>
    <xf numFmtId="0" fontId="0" fillId="3" borderId="2" xfId="0" applyFill="1" applyBorder="1"/>
    <xf numFmtId="0" fontId="0" fillId="15" borderId="0" xfId="0" applyFill="1"/>
    <xf numFmtId="170" fontId="49" fillId="0" borderId="0" xfId="3" applyNumberFormat="1" applyFont="1" applyBorder="1"/>
    <xf numFmtId="169" fontId="41" fillId="21" borderId="2" xfId="39" applyNumberFormat="1" applyFill="1" applyBorder="1" applyAlignment="1">
      <alignment vertical="center"/>
    </xf>
    <xf numFmtId="0" fontId="91" fillId="11" borderId="52" xfId="0" applyFont="1" applyFill="1" applyBorder="1" applyAlignment="1">
      <alignment vertical="center"/>
    </xf>
    <xf numFmtId="0" fontId="91" fillId="11" borderId="54" xfId="0" applyFont="1" applyFill="1" applyBorder="1" applyAlignment="1">
      <alignment vertical="center"/>
    </xf>
    <xf numFmtId="0" fontId="53" fillId="0" borderId="2" xfId="0" applyFont="1" applyBorder="1"/>
    <xf numFmtId="0" fontId="0" fillId="22" borderId="2" xfId="0" applyFill="1" applyBorder="1" applyAlignment="1">
      <alignment horizontal="left"/>
    </xf>
    <xf numFmtId="43" fontId="62" fillId="0" borderId="2" xfId="0" applyNumberFormat="1" applyFont="1" applyBorder="1"/>
    <xf numFmtId="0" fontId="30" fillId="0" borderId="2" xfId="80" applyFont="1" applyBorder="1" applyAlignment="1" applyProtection="1">
      <alignment vertical="center" wrapText="1"/>
      <protection locked="0"/>
    </xf>
    <xf numFmtId="168" fontId="30" fillId="0" borderId="2" xfId="80" applyNumberFormat="1" applyFont="1" applyBorder="1" applyAlignment="1" applyProtection="1">
      <alignment vertical="center" wrapText="1"/>
      <protection locked="0"/>
    </xf>
    <xf numFmtId="168" fontId="30" fillId="0" borderId="63" xfId="80" applyNumberFormat="1" applyFont="1" applyBorder="1" applyAlignment="1" applyProtection="1">
      <alignment vertical="center" wrapText="1"/>
      <protection locked="0"/>
    </xf>
    <xf numFmtId="175" fontId="24" fillId="0" borderId="2" xfId="67" applyNumberFormat="1" applyFont="1" applyFill="1" applyBorder="1" applyAlignment="1" applyProtection="1">
      <alignment horizontal="right" wrapText="1"/>
      <protection locked="0"/>
    </xf>
    <xf numFmtId="10" fontId="24" fillId="0" borderId="2" xfId="67" applyNumberFormat="1" applyFont="1" applyFill="1" applyBorder="1" applyProtection="1">
      <protection locked="0"/>
    </xf>
    <xf numFmtId="10" fontId="24" fillId="0" borderId="2" xfId="67" applyNumberFormat="1" applyFont="1" applyFill="1" applyBorder="1" applyAlignment="1" applyProtection="1">
      <alignment horizontal="right" wrapText="1"/>
      <protection locked="0"/>
    </xf>
    <xf numFmtId="169" fontId="0" fillId="0" borderId="2" xfId="45" applyNumberFormat="1" applyFont="1" applyBorder="1" applyProtection="1">
      <protection locked="0"/>
    </xf>
    <xf numFmtId="175" fontId="24" fillId="0" borderId="2" xfId="81" applyNumberFormat="1" applyFont="1" applyFill="1" applyBorder="1" applyAlignment="1" applyProtection="1">
      <alignment horizontal="right" wrapText="1"/>
      <protection locked="0"/>
    </xf>
    <xf numFmtId="44" fontId="0" fillId="0" borderId="2" xfId="0" applyNumberFormat="1" applyBorder="1"/>
    <xf numFmtId="169" fontId="15" fillId="0" borderId="24" xfId="39" applyNumberFormat="1" applyFont="1" applyFill="1" applyBorder="1" applyAlignment="1" applyProtection="1">
      <alignment vertical="center" wrapText="1"/>
      <protection hidden="1"/>
    </xf>
    <xf numFmtId="44" fontId="0" fillId="0" borderId="0" xfId="0" applyNumberFormat="1" applyProtection="1">
      <protection hidden="1"/>
    </xf>
    <xf numFmtId="44" fontId="42" fillId="0" borderId="0" xfId="0" applyNumberFormat="1" applyFont="1" applyProtection="1">
      <protection hidden="1"/>
    </xf>
    <xf numFmtId="0" fontId="113" fillId="0" borderId="0" xfId="68" applyFont="1" applyBorder="1" applyAlignment="1" applyProtection="1">
      <alignment vertical="top"/>
      <protection hidden="1"/>
    </xf>
    <xf numFmtId="0" fontId="93" fillId="12" borderId="3" xfId="71" applyFont="1" applyFill="1" applyBorder="1" applyAlignment="1">
      <alignment horizontal="center" vertical="center" wrapText="1"/>
    </xf>
    <xf numFmtId="0" fontId="93" fillId="12" borderId="15" xfId="71" applyFont="1" applyFill="1" applyBorder="1" applyAlignment="1">
      <alignment horizontal="center" vertical="center" wrapText="1"/>
    </xf>
    <xf numFmtId="0" fontId="109" fillId="12" borderId="52" xfId="71" applyFont="1" applyFill="1" applyBorder="1" applyAlignment="1">
      <alignment horizontal="center" vertical="center" wrapText="1"/>
    </xf>
    <xf numFmtId="0" fontId="109" fillId="12" borderId="54" xfId="71" applyFont="1" applyFill="1" applyBorder="1" applyAlignment="1">
      <alignment horizontal="center" vertical="center" wrapText="1"/>
    </xf>
    <xf numFmtId="0" fontId="99" fillId="18" borderId="0" xfId="0" applyFont="1" applyFill="1" applyAlignment="1">
      <alignment horizontal="left" vertical="center" wrapText="1"/>
    </xf>
    <xf numFmtId="0" fontId="100" fillId="18" borderId="0" xfId="0" applyFont="1" applyFill="1" applyAlignment="1">
      <alignment horizontal="left" vertical="center"/>
    </xf>
    <xf numFmtId="14" fontId="59" fillId="3" borderId="13" xfId="0" applyNumberFormat="1" applyFont="1" applyFill="1" applyBorder="1" applyProtection="1">
      <protection locked="0"/>
    </xf>
    <xf numFmtId="0" fontId="59" fillId="3" borderId="13" xfId="0" applyFont="1" applyFill="1" applyBorder="1" applyProtection="1">
      <protection locked="0"/>
    </xf>
    <xf numFmtId="3" fontId="59" fillId="3" borderId="13" xfId="0" applyNumberFormat="1" applyFont="1" applyFill="1" applyBorder="1" applyAlignment="1" applyProtection="1">
      <alignment horizontal="center"/>
      <protection locked="0"/>
    </xf>
    <xf numFmtId="0" fontId="66" fillId="0" borderId="0" xfId="0" applyFont="1" applyAlignment="1" applyProtection="1">
      <alignment horizontal="left" vertical="center"/>
      <protection hidden="1"/>
    </xf>
    <xf numFmtId="0" fontId="58" fillId="3" borderId="13" xfId="0" applyFont="1" applyFill="1" applyBorder="1" applyAlignment="1" applyProtection="1">
      <alignment horizontal="center"/>
      <protection locked="0" hidden="1"/>
    </xf>
    <xf numFmtId="0" fontId="59" fillId="3" borderId="13" xfId="0" applyFont="1" applyFill="1" applyBorder="1" applyAlignment="1" applyProtection="1">
      <alignment horizontal="left"/>
      <protection locked="0"/>
    </xf>
    <xf numFmtId="0" fontId="66" fillId="0" borderId="0" xfId="0" applyFont="1" applyAlignment="1" applyProtection="1">
      <alignment horizontal="center" wrapText="1"/>
      <protection hidden="1"/>
    </xf>
    <xf numFmtId="0" fontId="66" fillId="0" borderId="0" xfId="0" applyFont="1" applyAlignment="1" applyProtection="1">
      <alignment horizontal="center"/>
      <protection hidden="1"/>
    </xf>
    <xf numFmtId="0" fontId="66" fillId="0" borderId="0" xfId="0" applyFont="1" applyAlignment="1" applyProtection="1">
      <alignment horizontal="left"/>
      <protection hidden="1"/>
    </xf>
    <xf numFmtId="44" fontId="59" fillId="3" borderId="13" xfId="0" applyNumberFormat="1" applyFont="1" applyFill="1" applyBorder="1" applyAlignment="1" applyProtection="1">
      <alignment horizontal="left"/>
      <protection locked="0"/>
    </xf>
    <xf numFmtId="0" fontId="59" fillId="3" borderId="20" xfId="0" applyFont="1" applyFill="1" applyBorder="1" applyAlignment="1" applyProtection="1">
      <alignment horizontal="left"/>
      <protection locked="0"/>
    </xf>
    <xf numFmtId="164" fontId="59" fillId="3" borderId="20" xfId="0" applyNumberFormat="1" applyFont="1" applyFill="1" applyBorder="1" applyAlignment="1" applyProtection="1">
      <alignment horizontal="left"/>
      <protection locked="0"/>
    </xf>
    <xf numFmtId="0" fontId="69" fillId="0" borderId="48" xfId="0" applyFont="1" applyBorder="1" applyAlignment="1" applyProtection="1">
      <alignment horizontal="center" wrapText="1"/>
      <protection hidden="1"/>
    </xf>
    <xf numFmtId="164" fontId="59" fillId="3" borderId="49" xfId="0" applyNumberFormat="1" applyFont="1" applyFill="1" applyBorder="1" applyAlignment="1" applyProtection="1">
      <alignment horizontal="left"/>
      <protection locked="0"/>
    </xf>
    <xf numFmtId="0" fontId="83" fillId="0" borderId="50" xfId="0" applyFont="1" applyBorder="1" applyAlignment="1" applyProtection="1">
      <alignment horizontal="left"/>
      <protection hidden="1"/>
    </xf>
    <xf numFmtId="0" fontId="66" fillId="0" borderId="12" xfId="0" applyFont="1" applyBorder="1" applyAlignment="1" applyProtection="1">
      <alignment horizontal="right"/>
      <protection hidden="1"/>
    </xf>
    <xf numFmtId="0" fontId="112" fillId="3" borderId="20" xfId="0" applyFont="1" applyFill="1" applyBorder="1" applyAlignment="1" applyProtection="1">
      <alignment horizontal="left"/>
      <protection locked="0"/>
    </xf>
    <xf numFmtId="0" fontId="66" fillId="0" borderId="0" xfId="0" applyFont="1" applyAlignment="1" applyProtection="1">
      <alignment horizontal="left" vertical="center" wrapText="1"/>
      <protection hidden="1"/>
    </xf>
    <xf numFmtId="0" fontId="66" fillId="0" borderId="0" xfId="0" applyFont="1" applyAlignment="1" applyProtection="1">
      <alignment horizontal="right"/>
      <protection hidden="1"/>
    </xf>
    <xf numFmtId="0" fontId="66" fillId="0" borderId="0" xfId="0" applyFont="1" applyAlignment="1" applyProtection="1">
      <alignment horizontal="right" vertical="center" wrapText="1"/>
      <protection hidden="1"/>
    </xf>
    <xf numFmtId="0" fontId="22" fillId="0" borderId="0" xfId="0" applyFont="1" applyAlignment="1" applyProtection="1">
      <alignment horizontal="left" vertical="top" wrapText="1"/>
      <protection hidden="1"/>
    </xf>
    <xf numFmtId="0" fontId="22" fillId="0" borderId="0" xfId="0" applyFont="1" applyAlignment="1" applyProtection="1">
      <alignment horizontal="left" vertical="top"/>
      <protection hidden="1"/>
    </xf>
    <xf numFmtId="0" fontId="101" fillId="0" borderId="0" xfId="0" applyFont="1" applyAlignment="1" applyProtection="1">
      <alignment horizontal="center" wrapText="1"/>
      <protection hidden="1"/>
    </xf>
    <xf numFmtId="0" fontId="83" fillId="0" borderId="47" xfId="0" applyFont="1" applyBorder="1" applyAlignment="1" applyProtection="1">
      <alignment horizontal="left"/>
      <protection hidden="1"/>
    </xf>
    <xf numFmtId="169" fontId="59" fillId="0" borderId="13" xfId="39" applyNumberFormat="1" applyFont="1" applyFill="1" applyBorder="1" applyAlignment="1" applyProtection="1">
      <alignment horizontal="left"/>
      <protection hidden="1"/>
    </xf>
    <xf numFmtId="0" fontId="83" fillId="0" borderId="44" xfId="0" applyFont="1" applyBorder="1" applyAlignment="1" applyProtection="1">
      <alignment horizontal="left"/>
      <protection hidden="1"/>
    </xf>
    <xf numFmtId="164" fontId="59" fillId="3" borderId="13" xfId="0" applyNumberFormat="1" applyFont="1" applyFill="1" applyBorder="1" applyAlignment="1" applyProtection="1">
      <alignment horizontal="left"/>
      <protection locked="0"/>
    </xf>
    <xf numFmtId="0" fontId="86" fillId="13" borderId="51" xfId="0" applyFont="1" applyFill="1" applyBorder="1" applyAlignment="1" applyProtection="1">
      <alignment horizontal="right" vertical="center" indent="1"/>
      <protection hidden="1"/>
    </xf>
    <xf numFmtId="0" fontId="66" fillId="0" borderId="0" xfId="0" applyFont="1" applyAlignment="1" applyProtection="1">
      <alignment horizontal="right" vertical="center"/>
      <protection hidden="1"/>
    </xf>
    <xf numFmtId="0" fontId="61" fillId="0" borderId="0" xfId="0" applyFont="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23" fillId="0" borderId="0" xfId="0" applyFont="1" applyAlignment="1" applyProtection="1">
      <alignment horizontal="left" vertical="top"/>
      <protection hidden="1"/>
    </xf>
    <xf numFmtId="0" fontId="75" fillId="0" borderId="0" xfId="0" applyFont="1" applyAlignment="1" applyProtection="1">
      <alignment horizontal="left" vertical="top" wrapText="1"/>
      <protection hidden="1"/>
    </xf>
    <xf numFmtId="0" fontId="23" fillId="0" borderId="0" xfId="0" applyFont="1" applyAlignment="1" applyProtection="1">
      <alignment vertical="top" wrapText="1"/>
      <protection hidden="1"/>
    </xf>
    <xf numFmtId="0" fontId="70" fillId="0" borderId="0" xfId="0" applyFont="1" applyAlignment="1" applyProtection="1">
      <alignment horizontal="left" vertical="center"/>
      <protection hidden="1"/>
    </xf>
    <xf numFmtId="0" fontId="15" fillId="0" borderId="0" xfId="0" applyFont="1" applyAlignment="1" applyProtection="1">
      <alignment horizontal="left" vertical="top" wrapText="1"/>
      <protection hidden="1"/>
    </xf>
    <xf numFmtId="0" fontId="15" fillId="0" borderId="0" xfId="0" applyFont="1" applyAlignment="1" applyProtection="1">
      <alignment horizontal="left" vertical="top"/>
      <protection hidden="1"/>
    </xf>
    <xf numFmtId="0" fontId="70" fillId="0" borderId="0" xfId="0" applyFont="1" applyAlignment="1" applyProtection="1">
      <alignment horizontal="center" vertical="center"/>
      <protection hidden="1"/>
    </xf>
    <xf numFmtId="0" fontId="58" fillId="0" borderId="0" xfId="0" applyFont="1" applyAlignment="1" applyProtection="1">
      <alignment horizontal="left" vertical="top" wrapText="1"/>
      <protection hidden="1"/>
    </xf>
    <xf numFmtId="0" fontId="58" fillId="0" borderId="0" xfId="0" applyFont="1" applyAlignment="1" applyProtection="1">
      <alignment horizontal="left" vertical="top"/>
      <protection hidden="1"/>
    </xf>
    <xf numFmtId="0" fontId="83" fillId="0" borderId="44" xfId="0" applyFont="1" applyBorder="1" applyAlignment="1" applyProtection="1">
      <alignment horizontal="left" vertical="center"/>
      <protection hidden="1"/>
    </xf>
    <xf numFmtId="0" fontId="77" fillId="0" borderId="0" xfId="0" applyFont="1" applyAlignment="1" applyProtection="1">
      <alignment horizontal="left" vertical="center"/>
      <protection hidden="1"/>
    </xf>
    <xf numFmtId="0" fontId="102" fillId="0" borderId="0" xfId="0" applyFont="1" applyAlignment="1" applyProtection="1">
      <alignment horizontal="left"/>
      <protection hidden="1"/>
    </xf>
    <xf numFmtId="0" fontId="0" fillId="0" borderId="0" xfId="0" applyAlignment="1" applyProtection="1">
      <alignment horizontal="right"/>
      <protection hidden="1"/>
    </xf>
    <xf numFmtId="0" fontId="0" fillId="0" borderId="7" xfId="0" applyBorder="1" applyAlignment="1" applyProtection="1">
      <alignment horizontal="right"/>
      <protection hidden="1"/>
    </xf>
    <xf numFmtId="0" fontId="58" fillId="5" borderId="13" xfId="0" applyFont="1" applyFill="1" applyBorder="1" applyAlignment="1" applyProtection="1">
      <alignment horizontal="center"/>
      <protection locked="0"/>
    </xf>
    <xf numFmtId="0" fontId="58" fillId="5" borderId="20" xfId="0" applyFont="1" applyFill="1" applyBorder="1" applyAlignment="1" applyProtection="1">
      <alignment horizontal="center"/>
      <protection locked="0"/>
    </xf>
    <xf numFmtId="0" fontId="103" fillId="19" borderId="38" xfId="0" applyFont="1" applyFill="1" applyBorder="1" applyAlignment="1" applyProtection="1">
      <alignment horizontal="left" vertical="center"/>
      <protection hidden="1"/>
    </xf>
    <xf numFmtId="0" fontId="47" fillId="19" borderId="20" xfId="0" applyFont="1" applyFill="1" applyBorder="1" applyProtection="1">
      <protection hidden="1"/>
    </xf>
    <xf numFmtId="0" fontId="47" fillId="19" borderId="39" xfId="0" applyFont="1" applyFill="1" applyBorder="1" applyProtection="1">
      <protection hidden="1"/>
    </xf>
    <xf numFmtId="0" fontId="15" fillId="0" borderId="2" xfId="0" applyFont="1" applyBorder="1" applyAlignment="1" applyProtection="1">
      <alignment horizontal="center"/>
      <protection hidden="1"/>
    </xf>
    <xf numFmtId="0" fontId="15" fillId="0" borderId="2" xfId="0" applyFont="1" applyBorder="1" applyAlignment="1" applyProtection="1">
      <alignment horizontal="center" vertical="center" wrapText="1"/>
      <protection hidden="1"/>
    </xf>
    <xf numFmtId="170" fontId="15" fillId="0" borderId="4" xfId="3" applyNumberFormat="1" applyFont="1" applyBorder="1" applyAlignment="1" applyProtection="1">
      <alignment horizontal="center" vertical="center"/>
      <protection hidden="1"/>
    </xf>
    <xf numFmtId="170" fontId="15" fillId="0" borderId="20" xfId="3" applyNumberFormat="1" applyFont="1" applyBorder="1" applyAlignment="1" applyProtection="1">
      <alignment horizontal="center" vertical="center"/>
      <protection hidden="1"/>
    </xf>
    <xf numFmtId="0" fontId="58" fillId="0" borderId="2" xfId="0" applyFont="1" applyBorder="1" applyAlignment="1" applyProtection="1">
      <alignment horizontal="center" vertical="center" wrapText="1"/>
      <protection hidden="1"/>
    </xf>
    <xf numFmtId="167" fontId="15" fillId="0" borderId="2" xfId="41" applyNumberFormat="1" applyFont="1" applyBorder="1" applyAlignment="1" applyProtection="1">
      <alignment horizontal="center" vertical="center" wrapText="1"/>
      <protection hidden="1"/>
    </xf>
    <xf numFmtId="43" fontId="15" fillId="3" borderId="4" xfId="3" applyFont="1" applyFill="1" applyBorder="1" applyAlignment="1" applyProtection="1">
      <alignment horizontal="center" vertical="center" wrapText="1"/>
      <protection locked="0"/>
    </xf>
    <xf numFmtId="43" fontId="15" fillId="3" borderId="20" xfId="3" applyFont="1" applyFill="1" applyBorder="1" applyAlignment="1" applyProtection="1">
      <alignment horizontal="center" vertical="center" wrapText="1"/>
      <protection locked="0"/>
    </xf>
    <xf numFmtId="43" fontId="15" fillId="3" borderId="19" xfId="3"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protection hidden="1"/>
    </xf>
    <xf numFmtId="0" fontId="15" fillId="0" borderId="4" xfId="0" applyFont="1" applyBorder="1" applyAlignment="1" applyProtection="1">
      <alignment horizontal="left" vertical="center" wrapText="1"/>
      <protection hidden="1"/>
    </xf>
    <xf numFmtId="0" fontId="15" fillId="0" borderId="20" xfId="0" applyFont="1" applyBorder="1" applyAlignment="1" applyProtection="1">
      <alignment horizontal="left" vertical="center" wrapText="1"/>
      <protection hidden="1"/>
    </xf>
    <xf numFmtId="0" fontId="15" fillId="0" borderId="19" xfId="0" applyFont="1" applyBorder="1" applyAlignment="1" applyProtection="1">
      <alignment horizontal="left" vertical="center" wrapText="1"/>
      <protection hidden="1"/>
    </xf>
    <xf numFmtId="0" fontId="15" fillId="0" borderId="10"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hidden="1"/>
    </xf>
    <xf numFmtId="0" fontId="15" fillId="0" borderId="6" xfId="0" applyFont="1" applyBorder="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15" fillId="0" borderId="8" xfId="0" applyFont="1" applyBorder="1" applyAlignment="1" applyProtection="1">
      <alignment horizontal="left" vertical="center" wrapText="1"/>
      <protection hidden="1"/>
    </xf>
    <xf numFmtId="0" fontId="15" fillId="0" borderId="13" xfId="0" applyFont="1" applyBorder="1" applyAlignment="1" applyProtection="1">
      <alignment horizontal="left" vertical="center" wrapText="1"/>
      <protection hidden="1"/>
    </xf>
    <xf numFmtId="0" fontId="15" fillId="0" borderId="9" xfId="0" applyFont="1" applyBorder="1" applyAlignment="1" applyProtection="1">
      <alignment horizontal="left" vertical="center" wrapText="1"/>
      <protection hidden="1"/>
    </xf>
    <xf numFmtId="169" fontId="15" fillId="0" borderId="35" xfId="39" applyNumberFormat="1" applyFont="1" applyBorder="1" applyAlignment="1" applyProtection="1">
      <alignment horizontal="center" vertical="center" wrapText="1"/>
      <protection hidden="1"/>
    </xf>
    <xf numFmtId="169" fontId="15" fillId="0" borderId="36" xfId="39" applyNumberFormat="1" applyFont="1" applyBorder="1" applyAlignment="1" applyProtection="1">
      <alignment horizontal="center" vertical="center" wrapText="1"/>
      <protection hidden="1"/>
    </xf>
    <xf numFmtId="169" fontId="15" fillId="0" borderId="37" xfId="39" applyNumberFormat="1" applyFont="1" applyBorder="1" applyAlignment="1" applyProtection="1">
      <alignment horizontal="center" vertical="center" wrapText="1"/>
      <protection hidden="1"/>
    </xf>
    <xf numFmtId="0" fontId="0" fillId="0" borderId="2" xfId="0" applyBorder="1" applyAlignment="1" applyProtection="1">
      <alignment horizontal="center"/>
      <protection hidden="1"/>
    </xf>
    <xf numFmtId="43" fontId="38" fillId="0" borderId="34" xfId="3" applyFont="1" applyFill="1" applyBorder="1" applyAlignment="1">
      <alignment horizontal="center" vertical="center"/>
    </xf>
    <xf numFmtId="43" fontId="38" fillId="0" borderId="40" xfId="3" applyFont="1" applyFill="1" applyBorder="1" applyAlignment="1">
      <alignment horizontal="center" vertical="center"/>
    </xf>
    <xf numFmtId="0" fontId="35" fillId="0" borderId="0" xfId="0" applyFont="1" applyAlignment="1" applyProtection="1">
      <alignment horizontal="left" vertical="center" wrapText="1"/>
      <protection hidden="1"/>
    </xf>
    <xf numFmtId="167" fontId="15" fillId="0" borderId="2" xfId="41" applyNumberFormat="1" applyFont="1" applyBorder="1" applyAlignment="1" applyProtection="1">
      <alignment horizontal="center" vertical="center"/>
      <protection hidden="1"/>
    </xf>
    <xf numFmtId="170" fontId="15" fillId="0" borderId="10" xfId="3" applyNumberFormat="1" applyFont="1" applyBorder="1" applyAlignment="1" applyProtection="1">
      <alignment horizontal="center" vertical="center"/>
      <protection hidden="1"/>
    </xf>
    <xf numFmtId="170" fontId="15" fillId="0" borderId="11" xfId="3" applyNumberFormat="1" applyFont="1" applyBorder="1" applyAlignment="1" applyProtection="1">
      <alignment horizontal="center" vertical="center"/>
      <protection hidden="1"/>
    </xf>
    <xf numFmtId="170" fontId="15" fillId="0" borderId="6" xfId="3" applyNumberFormat="1" applyFont="1" applyBorder="1" applyAlignment="1" applyProtection="1">
      <alignment horizontal="center" vertical="center"/>
      <protection hidden="1"/>
    </xf>
    <xf numFmtId="170" fontId="15" fillId="0" borderId="7" xfId="3" applyNumberFormat="1" applyFont="1" applyBorder="1" applyAlignment="1" applyProtection="1">
      <alignment horizontal="center" vertical="center"/>
      <protection hidden="1"/>
    </xf>
    <xf numFmtId="170" fontId="15" fillId="0" borderId="8" xfId="3" applyNumberFormat="1" applyFont="1" applyBorder="1" applyAlignment="1" applyProtection="1">
      <alignment horizontal="center" vertical="center"/>
      <protection hidden="1"/>
    </xf>
    <xf numFmtId="170" fontId="15" fillId="0" borderId="9" xfId="3" applyNumberFormat="1" applyFont="1" applyBorder="1" applyAlignment="1" applyProtection="1">
      <alignment horizontal="center" vertical="center"/>
      <protection hidden="1"/>
    </xf>
    <xf numFmtId="170" fontId="15" fillId="3" borderId="2" xfId="3" applyNumberFormat="1" applyFont="1" applyFill="1" applyBorder="1" applyAlignment="1" applyProtection="1">
      <alignment horizontal="center" vertical="center"/>
      <protection locked="0"/>
    </xf>
    <xf numFmtId="0" fontId="98" fillId="17" borderId="34" xfId="0" applyFont="1" applyFill="1" applyBorder="1" applyAlignment="1">
      <alignment horizontal="center" vertical="center"/>
    </xf>
    <xf numFmtId="0" fontId="98" fillId="17" borderId="40" xfId="0" applyFont="1" applyFill="1" applyBorder="1" applyAlignment="1">
      <alignment horizontal="center" vertical="center"/>
    </xf>
    <xf numFmtId="0" fontId="106" fillId="20" borderId="0" xfId="0" applyFont="1" applyFill="1" applyAlignment="1" applyProtection="1">
      <alignment horizontal="left" vertical="center"/>
      <protection hidden="1"/>
    </xf>
    <xf numFmtId="169" fontId="38" fillId="0" borderId="34" xfId="39" applyNumberFormat="1" applyFont="1" applyFill="1" applyBorder="1" applyAlignment="1">
      <alignment horizontal="center" vertical="center"/>
    </xf>
    <xf numFmtId="169" fontId="38" fillId="0" borderId="40" xfId="39" applyNumberFormat="1" applyFont="1" applyFill="1" applyBorder="1" applyAlignment="1">
      <alignment horizontal="center" vertical="center"/>
    </xf>
    <xf numFmtId="0" fontId="15" fillId="0" borderId="30" xfId="0" applyFont="1" applyBorder="1" applyAlignment="1" applyProtection="1">
      <alignment horizontal="center" vertical="center" wrapText="1"/>
      <protection hidden="1"/>
    </xf>
    <xf numFmtId="0" fontId="15" fillId="0" borderId="41" xfId="0" applyFont="1" applyBorder="1" applyAlignment="1" applyProtection="1">
      <alignment horizontal="center" vertical="center" wrapText="1"/>
      <protection hidden="1"/>
    </xf>
    <xf numFmtId="0" fontId="15" fillId="0" borderId="2" xfId="0" applyFont="1" applyBorder="1" applyAlignment="1" applyProtection="1">
      <alignment horizontal="left" vertical="center" wrapText="1"/>
      <protection hidden="1"/>
    </xf>
    <xf numFmtId="0" fontId="15" fillId="0" borderId="3" xfId="0" applyFont="1" applyBorder="1" applyAlignment="1" applyProtection="1">
      <alignment horizontal="center"/>
      <protection hidden="1"/>
    </xf>
    <xf numFmtId="0" fontId="15" fillId="0" borderId="14" xfId="0" applyFont="1" applyBorder="1" applyAlignment="1" applyProtection="1">
      <alignment horizontal="center"/>
      <protection hidden="1"/>
    </xf>
    <xf numFmtId="0" fontId="15" fillId="0" borderId="15" xfId="0" applyFont="1" applyBorder="1" applyAlignment="1" applyProtection="1">
      <alignment horizontal="center"/>
      <protection hidden="1"/>
    </xf>
    <xf numFmtId="0" fontId="104" fillId="0" borderId="48" xfId="0" applyFont="1" applyBorder="1" applyAlignment="1" applyProtection="1">
      <alignment horizontal="center" vertical="center" wrapText="1"/>
      <protection hidden="1"/>
    </xf>
    <xf numFmtId="0" fontId="104" fillId="0" borderId="48" xfId="0" applyFont="1" applyBorder="1" applyAlignment="1" applyProtection="1">
      <alignment horizontal="center" vertical="center"/>
      <protection hidden="1"/>
    </xf>
    <xf numFmtId="0" fontId="105" fillId="0" borderId="41" xfId="0" applyFont="1" applyBorder="1" applyAlignment="1" applyProtection="1">
      <alignment horizontal="left" vertical="center" wrapText="1"/>
      <protection hidden="1"/>
    </xf>
    <xf numFmtId="0" fontId="97" fillId="17" borderId="18" xfId="0" applyFont="1" applyFill="1" applyBorder="1" applyAlignment="1" applyProtection="1">
      <alignment horizontal="center" vertical="center" wrapText="1"/>
      <protection hidden="1"/>
    </xf>
    <xf numFmtId="0" fontId="97" fillId="17" borderId="17" xfId="0" applyFont="1" applyFill="1" applyBorder="1" applyAlignment="1" applyProtection="1">
      <alignment horizontal="center" vertical="center" wrapText="1"/>
      <protection hidden="1"/>
    </xf>
    <xf numFmtId="16" fontId="15" fillId="0" borderId="42" xfId="0" applyNumberFormat="1" applyFont="1" applyBorder="1" applyAlignment="1" applyProtection="1">
      <alignment horizontal="center" vertical="center"/>
      <protection hidden="1"/>
    </xf>
    <xf numFmtId="16" fontId="15" fillId="0" borderId="43" xfId="0" applyNumberFormat="1" applyFont="1" applyBorder="1" applyAlignment="1" applyProtection="1">
      <alignment horizontal="center" vertical="center"/>
      <protection hidden="1"/>
    </xf>
    <xf numFmtId="0" fontId="58" fillId="0" borderId="3" xfId="0" applyFont="1" applyBorder="1" applyAlignment="1" applyProtection="1">
      <alignment horizontal="center" vertical="center" wrapText="1"/>
      <protection hidden="1"/>
    </xf>
    <xf numFmtId="0" fontId="58" fillId="0" borderId="15" xfId="0" applyFont="1" applyBorder="1" applyAlignment="1" applyProtection="1">
      <alignment horizontal="center" vertical="center" wrapText="1"/>
      <protection hidden="1"/>
    </xf>
    <xf numFmtId="167" fontId="15" fillId="0" borderId="3" xfId="41" applyNumberFormat="1" applyFont="1" applyBorder="1" applyAlignment="1" applyProtection="1">
      <alignment horizontal="center" vertical="center" wrapText="1"/>
      <protection hidden="1"/>
    </xf>
    <xf numFmtId="167" fontId="15" fillId="0" borderId="15" xfId="41" applyNumberFormat="1" applyFont="1" applyBorder="1" applyAlignment="1" applyProtection="1">
      <alignment horizontal="center" vertical="center" wrapText="1"/>
      <protection hidden="1"/>
    </xf>
    <xf numFmtId="0" fontId="15" fillId="0" borderId="3" xfId="0" applyFont="1" applyBorder="1" applyAlignment="1" applyProtection="1">
      <alignment horizontal="center" vertical="center"/>
      <protection hidden="1"/>
    </xf>
    <xf numFmtId="0" fontId="15" fillId="0" borderId="15" xfId="0" applyFont="1" applyBorder="1" applyAlignment="1" applyProtection="1">
      <alignment horizontal="center" vertical="center"/>
      <protection hidden="1"/>
    </xf>
    <xf numFmtId="0" fontId="8" fillId="0" borderId="10" xfId="0" applyFont="1" applyBorder="1" applyAlignment="1" applyProtection="1">
      <alignment horizontal="center"/>
      <protection hidden="1"/>
    </xf>
    <xf numFmtId="0" fontId="8" fillId="0" borderId="8" xfId="0" applyFont="1" applyBorder="1" applyAlignment="1" applyProtection="1">
      <alignment horizontal="center"/>
      <protection hidden="1"/>
    </xf>
    <xf numFmtId="169" fontId="15" fillId="0" borderId="35" xfId="39" applyNumberFormat="1" applyFont="1" applyFill="1" applyBorder="1" applyAlignment="1" applyProtection="1">
      <alignment horizontal="center" vertical="center" wrapText="1"/>
      <protection hidden="1"/>
    </xf>
    <xf numFmtId="169" fontId="15" fillId="0" borderId="37" xfId="39" applyNumberFormat="1" applyFont="1" applyFill="1" applyBorder="1" applyAlignment="1" applyProtection="1">
      <alignment horizontal="center" vertical="center" wrapText="1"/>
      <protection hidden="1"/>
    </xf>
    <xf numFmtId="0" fontId="15" fillId="0" borderId="12" xfId="0" applyFont="1" applyBorder="1" applyAlignment="1" applyProtection="1">
      <alignment horizontal="center" vertical="center"/>
      <protection hidden="1"/>
    </xf>
    <xf numFmtId="0" fontId="15" fillId="0" borderId="11"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10" xfId="0" applyFont="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15" fillId="0" borderId="11"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wrapText="1"/>
      <protection hidden="1"/>
    </xf>
    <xf numFmtId="167" fontId="15" fillId="0" borderId="14" xfId="41" applyNumberFormat="1" applyFont="1" applyBorder="1" applyAlignment="1" applyProtection="1">
      <alignment horizontal="center" vertical="center" wrapText="1"/>
      <protection hidden="1"/>
    </xf>
    <xf numFmtId="0" fontId="15" fillId="0" borderId="2" xfId="0" applyFont="1" applyBorder="1" applyAlignment="1" applyProtection="1">
      <alignment vertical="center"/>
      <protection hidden="1"/>
    </xf>
    <xf numFmtId="0" fontId="64" fillId="3" borderId="2" xfId="0" applyFont="1" applyFill="1" applyBorder="1" applyAlignment="1" applyProtection="1">
      <alignment horizontal="left"/>
      <protection locked="0"/>
    </xf>
    <xf numFmtId="0" fontId="64" fillId="0" borderId="20" xfId="0" applyFont="1" applyBorder="1" applyAlignment="1" applyProtection="1">
      <alignment horizontal="left"/>
      <protection hidden="1"/>
    </xf>
    <xf numFmtId="0" fontId="15" fillId="0" borderId="4" xfId="0" applyFont="1" applyBorder="1" applyAlignment="1" applyProtection="1">
      <alignment vertical="center"/>
      <protection hidden="1"/>
    </xf>
    <xf numFmtId="0" fontId="15" fillId="0" borderId="19" xfId="0" applyFont="1" applyBorder="1" applyAlignment="1" applyProtection="1">
      <alignment vertical="center"/>
      <protection hidden="1"/>
    </xf>
    <xf numFmtId="0" fontId="64" fillId="3" borderId="13" xfId="0" applyFont="1" applyFill="1" applyBorder="1" applyAlignment="1" applyProtection="1">
      <alignment horizontal="left"/>
      <protection locked="0"/>
    </xf>
    <xf numFmtId="0" fontId="64" fillId="3" borderId="9" xfId="0" applyFont="1" applyFill="1" applyBorder="1" applyAlignment="1" applyProtection="1">
      <alignment horizontal="left"/>
      <protection locked="0"/>
    </xf>
    <xf numFmtId="164" fontId="64" fillId="0" borderId="13" xfId="0" applyNumberFormat="1" applyFont="1" applyBorder="1" applyAlignment="1" applyProtection="1">
      <alignment horizontal="left"/>
      <protection hidden="1"/>
    </xf>
    <xf numFmtId="0" fontId="0" fillId="3" borderId="20" xfId="0" applyFill="1" applyBorder="1" applyAlignment="1" applyProtection="1">
      <alignment horizontal="center"/>
      <protection locked="0"/>
    </xf>
    <xf numFmtId="0" fontId="64" fillId="0" borderId="13" xfId="0" applyFont="1" applyBorder="1" applyAlignment="1" applyProtection="1">
      <alignment horizontal="left"/>
      <protection hidden="1"/>
    </xf>
    <xf numFmtId="0" fontId="86" fillId="0" borderId="4" xfId="0" applyFont="1" applyBorder="1" applyAlignment="1" applyProtection="1">
      <alignment horizontal="center"/>
      <protection hidden="1"/>
    </xf>
    <xf numFmtId="0" fontId="86" fillId="0" borderId="20" xfId="0" applyFont="1" applyBorder="1" applyAlignment="1" applyProtection="1">
      <alignment horizontal="center"/>
      <protection hidden="1"/>
    </xf>
    <xf numFmtId="0" fontId="86" fillId="0" borderId="19" xfId="0" applyFont="1" applyBorder="1" applyAlignment="1" applyProtection="1">
      <alignment horizontal="center"/>
      <protection hidden="1"/>
    </xf>
    <xf numFmtId="0" fontId="31" fillId="17" borderId="2" xfId="73" applyFont="1" applyFill="1" applyBorder="1" applyAlignment="1" applyProtection="1">
      <alignment horizontal="center" vertical="center" wrapText="1"/>
      <protection hidden="1"/>
    </xf>
    <xf numFmtId="0" fontId="31" fillId="17" borderId="2" xfId="0" applyFont="1" applyFill="1" applyBorder="1" applyAlignment="1" applyProtection="1">
      <alignment horizontal="center" vertical="center" wrapText="1"/>
      <protection hidden="1"/>
    </xf>
  </cellXfs>
  <cellStyles count="89">
    <cellStyle name="0,0_x000d__x000a_NA_x000d__x000a_" xfId="1" xr:uid="{00000000-0005-0000-0000-000000000000}"/>
    <cellStyle name="0,0_x000d__x000a_NA_x000d__x000a_ 2" xfId="2" xr:uid="{00000000-0005-0000-0000-000001000000}"/>
    <cellStyle name="Comma" xfId="3" builtinId="3"/>
    <cellStyle name="Comma 10" xfId="4" xr:uid="{00000000-0005-0000-0000-000003000000}"/>
    <cellStyle name="Comma 10 2" xfId="5" xr:uid="{00000000-0005-0000-0000-000004000000}"/>
    <cellStyle name="Comma 10 2 2" xfId="6" xr:uid="{00000000-0005-0000-0000-000005000000}"/>
    <cellStyle name="Comma 10 2 2 2" xfId="7" xr:uid="{00000000-0005-0000-0000-000006000000}"/>
    <cellStyle name="Comma 10 2 3" xfId="8" xr:uid="{00000000-0005-0000-0000-000007000000}"/>
    <cellStyle name="Comma 10 3" xfId="9" xr:uid="{00000000-0005-0000-0000-000008000000}"/>
    <cellStyle name="Comma 10 3 2" xfId="10" xr:uid="{00000000-0005-0000-0000-000009000000}"/>
    <cellStyle name="Comma 10 4" xfId="11" xr:uid="{00000000-0005-0000-0000-00000A000000}"/>
    <cellStyle name="Comma 11" xfId="12" xr:uid="{00000000-0005-0000-0000-00000B000000}"/>
    <cellStyle name="Comma 11 2" xfId="13" xr:uid="{00000000-0005-0000-0000-00000C000000}"/>
    <cellStyle name="Comma 11 2 2" xfId="14" xr:uid="{00000000-0005-0000-0000-00000D000000}"/>
    <cellStyle name="Comma 11 2 2 2" xfId="15" xr:uid="{00000000-0005-0000-0000-00000E000000}"/>
    <cellStyle name="Comma 11 2 3" xfId="16" xr:uid="{00000000-0005-0000-0000-00000F000000}"/>
    <cellStyle name="Comma 11 3" xfId="17" xr:uid="{00000000-0005-0000-0000-000010000000}"/>
    <cellStyle name="Comma 11 3 2" xfId="18" xr:uid="{00000000-0005-0000-0000-000011000000}"/>
    <cellStyle name="Comma 11 4" xfId="19" xr:uid="{00000000-0005-0000-0000-000012000000}"/>
    <cellStyle name="Comma 12" xfId="20" xr:uid="{00000000-0005-0000-0000-000013000000}"/>
    <cellStyle name="Comma 12 2" xfId="21" xr:uid="{00000000-0005-0000-0000-000014000000}"/>
    <cellStyle name="Comma 12 2 2" xfId="22" xr:uid="{00000000-0005-0000-0000-000015000000}"/>
    <cellStyle name="Comma 12 2 2 2" xfId="23" xr:uid="{00000000-0005-0000-0000-000016000000}"/>
    <cellStyle name="Comma 12 2 3" xfId="24" xr:uid="{00000000-0005-0000-0000-000017000000}"/>
    <cellStyle name="Comma 12 3" xfId="25" xr:uid="{00000000-0005-0000-0000-000018000000}"/>
    <cellStyle name="Comma 12 3 2" xfId="26" xr:uid="{00000000-0005-0000-0000-000019000000}"/>
    <cellStyle name="Comma 12 4" xfId="27" xr:uid="{00000000-0005-0000-0000-00001A000000}"/>
    <cellStyle name="Comma 13" xfId="28" xr:uid="{00000000-0005-0000-0000-00001B000000}"/>
    <cellStyle name="Comma 2" xfId="29" xr:uid="{00000000-0005-0000-0000-00001C000000}"/>
    <cellStyle name="Comma 2 2" xfId="30" xr:uid="{00000000-0005-0000-0000-00001D000000}"/>
    <cellStyle name="Comma 3" xfId="31" xr:uid="{00000000-0005-0000-0000-00001E000000}"/>
    <cellStyle name="Comma 4" xfId="32" xr:uid="{00000000-0005-0000-0000-00001F000000}"/>
    <cellStyle name="Comma 5" xfId="33" xr:uid="{00000000-0005-0000-0000-000020000000}"/>
    <cellStyle name="Comma 6" xfId="34" xr:uid="{00000000-0005-0000-0000-000021000000}"/>
    <cellStyle name="Comma 7" xfId="35" xr:uid="{00000000-0005-0000-0000-000022000000}"/>
    <cellStyle name="Comma 8" xfId="36" xr:uid="{00000000-0005-0000-0000-000023000000}"/>
    <cellStyle name="Comma 9" xfId="37" xr:uid="{00000000-0005-0000-0000-000024000000}"/>
    <cellStyle name="Comma 9 2" xfId="38" xr:uid="{00000000-0005-0000-0000-000025000000}"/>
    <cellStyle name="Currency" xfId="39" builtinId="4"/>
    <cellStyle name="Currency 2" xfId="40" xr:uid="{00000000-0005-0000-0000-000027000000}"/>
    <cellStyle name="Currency 2 2" xfId="41" xr:uid="{00000000-0005-0000-0000-000028000000}"/>
    <cellStyle name="Currency 3" xfId="42" xr:uid="{00000000-0005-0000-0000-000029000000}"/>
    <cellStyle name="Currency 3 2" xfId="43" xr:uid="{00000000-0005-0000-0000-00002A000000}"/>
    <cellStyle name="Currency 3 2 2" xfId="44" xr:uid="{00000000-0005-0000-0000-00002B000000}"/>
    <cellStyle name="Currency 3 2 2 2" xfId="45" xr:uid="{00000000-0005-0000-0000-00002C000000}"/>
    <cellStyle name="Currency 3 2 3" xfId="46" xr:uid="{00000000-0005-0000-0000-00002D000000}"/>
    <cellStyle name="Currency 3 3" xfId="47" xr:uid="{00000000-0005-0000-0000-00002E000000}"/>
    <cellStyle name="Currency 3 3 2" xfId="48" xr:uid="{00000000-0005-0000-0000-00002F000000}"/>
    <cellStyle name="Currency 3 4" xfId="49" xr:uid="{00000000-0005-0000-0000-000030000000}"/>
    <cellStyle name="Currency 4" xfId="50" xr:uid="{00000000-0005-0000-0000-000031000000}"/>
    <cellStyle name="Currency 4 2" xfId="51" xr:uid="{00000000-0005-0000-0000-000032000000}"/>
    <cellStyle name="Currency 4 2 2" xfId="52" xr:uid="{00000000-0005-0000-0000-000033000000}"/>
    <cellStyle name="Currency 4 2 2 2" xfId="53" xr:uid="{00000000-0005-0000-0000-000034000000}"/>
    <cellStyle name="Currency 4 2 3" xfId="54" xr:uid="{00000000-0005-0000-0000-000035000000}"/>
    <cellStyle name="Currency 4 3" xfId="55" xr:uid="{00000000-0005-0000-0000-000036000000}"/>
    <cellStyle name="Currency 4 3 2" xfId="56" xr:uid="{00000000-0005-0000-0000-000037000000}"/>
    <cellStyle name="Currency 4 4" xfId="57" xr:uid="{00000000-0005-0000-0000-000038000000}"/>
    <cellStyle name="Currency 5" xfId="58" xr:uid="{00000000-0005-0000-0000-000039000000}"/>
    <cellStyle name="Currency 5 2" xfId="59" xr:uid="{00000000-0005-0000-0000-00003A000000}"/>
    <cellStyle name="Currency 5 2 2" xfId="60" xr:uid="{00000000-0005-0000-0000-00003B000000}"/>
    <cellStyle name="Currency 5 2 2 2" xfId="61" xr:uid="{00000000-0005-0000-0000-00003C000000}"/>
    <cellStyle name="Currency 5 2 3" xfId="62" xr:uid="{00000000-0005-0000-0000-00003D000000}"/>
    <cellStyle name="Currency 5 3" xfId="63" xr:uid="{00000000-0005-0000-0000-00003E000000}"/>
    <cellStyle name="Currency 5 3 2" xfId="64" xr:uid="{00000000-0005-0000-0000-00003F000000}"/>
    <cellStyle name="Currency 5 4" xfId="65" xr:uid="{00000000-0005-0000-0000-000040000000}"/>
    <cellStyle name="Currency 6" xfId="66" xr:uid="{00000000-0005-0000-0000-000041000000}"/>
    <cellStyle name="Good" xfId="67" builtinId="26"/>
    <cellStyle name="Hyperlink" xfId="68" builtinId="8"/>
    <cellStyle name="Hyperlink 2" xfId="69" xr:uid="{00000000-0005-0000-0000-000044000000}"/>
    <cellStyle name="Hyperlink 3" xfId="70" xr:uid="{00000000-0005-0000-0000-000045000000}"/>
    <cellStyle name="Normal" xfId="0" builtinId="0"/>
    <cellStyle name="Normal 10 5" xfId="71" xr:uid="{00000000-0005-0000-0000-000047000000}"/>
    <cellStyle name="Normal 2" xfId="72" xr:uid="{00000000-0005-0000-0000-000048000000}"/>
    <cellStyle name="Normal 2 2" xfId="73" xr:uid="{00000000-0005-0000-0000-000049000000}"/>
    <cellStyle name="Normal 2 3" xfId="74" xr:uid="{00000000-0005-0000-0000-00004A000000}"/>
    <cellStyle name="Normal 2 7" xfId="75" xr:uid="{00000000-0005-0000-0000-00004B000000}"/>
    <cellStyle name="Normal 2_Wattage Table" xfId="76" xr:uid="{00000000-0005-0000-0000-00004C000000}"/>
    <cellStyle name="Normal 3" xfId="77" xr:uid="{00000000-0005-0000-0000-00004D000000}"/>
    <cellStyle name="Normal 3 2" xfId="78" xr:uid="{00000000-0005-0000-0000-00004E000000}"/>
    <cellStyle name="Normal_Fin02-Comm" xfId="79" xr:uid="{00000000-0005-0000-0000-00004F000000}"/>
    <cellStyle name="Normal_QA Sample NTG for Year Testing_Ivy 02222011 (2)" xfId="80" xr:uid="{00000000-0005-0000-0000-000050000000}"/>
    <cellStyle name="Percent 2" xfId="81" xr:uid="{00000000-0005-0000-0000-000052000000}"/>
    <cellStyle name="Percent 3" xfId="82" xr:uid="{00000000-0005-0000-0000-000053000000}"/>
    <cellStyle name="Percent 4" xfId="83" xr:uid="{00000000-0005-0000-0000-000054000000}"/>
    <cellStyle name="Percent 5" xfId="84" xr:uid="{00000000-0005-0000-0000-000055000000}"/>
    <cellStyle name="Percent 6" xfId="85" xr:uid="{00000000-0005-0000-0000-000056000000}"/>
    <cellStyle name="Percent 7" xfId="86" xr:uid="{00000000-0005-0000-0000-000057000000}"/>
    <cellStyle name="Percent 8" xfId="87" xr:uid="{00000000-0005-0000-0000-000058000000}"/>
    <cellStyle name="Percent 9" xfId="88" xr:uid="{00000000-0005-0000-0000-000059000000}"/>
  </cellStyles>
  <dxfs count="3">
    <dxf>
      <font>
        <color rgb="FFFF0000"/>
      </font>
      <fill>
        <patternFill patternType="none">
          <bgColor indexed="65"/>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39A3D3"/>
      <color rgb="FFF85208"/>
      <color rgb="FF142C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png"/><Relationship Id="rId3" Type="http://schemas.openxmlformats.org/officeDocument/2006/relationships/image" Target="../media/image4.jpeg"/><Relationship Id="rId7" Type="http://schemas.openxmlformats.org/officeDocument/2006/relationships/image" Target="../media/image8.jpeg"/><Relationship Id="rId12" Type="http://schemas.openxmlformats.org/officeDocument/2006/relationships/image" Target="../media/image13.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612198</xdr:colOff>
      <xdr:row>35</xdr:row>
      <xdr:rowOff>67517</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0"/>
          <a:ext cx="18767425" cy="720645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chemeClr val="bg1"/>
              </a:solidFill>
            </a:rPr>
            <a:t>Refer to Master Internal Workbook for all references &amp; calculations. Do not refer to external sheets. </a:t>
          </a:r>
        </a:p>
        <a:p>
          <a:r>
            <a:rPr lang="en-US" sz="2400" b="1">
              <a:solidFill>
                <a:schemeClr val="bg1"/>
              </a:solidFill>
            </a:rPr>
            <a:t>-</a:t>
          </a:r>
          <a:r>
            <a:rPr lang="en-US" sz="2400" b="1" baseline="0">
              <a:solidFill>
                <a:schemeClr val="bg1"/>
              </a:solidFill>
            </a:rPr>
            <a:t> 10/30/2023 - EVD</a:t>
          </a:r>
          <a:endParaRPr lang="en-US" sz="24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8143875</xdr:colOff>
          <xdr:row>13</xdr:row>
          <xdr:rowOff>9525</xdr:rowOff>
        </xdr:from>
        <xdr:to>
          <xdr:col>11</xdr:col>
          <xdr:colOff>0</xdr:colOff>
          <xdr:row>18</xdr:row>
          <xdr:rowOff>190500</xdr:rowOff>
        </xdr:to>
        <xdr:sp macro="" textlink="">
          <xdr:nvSpPr>
            <xdr:cNvPr id="237819" name="Group Box 1275" hidden="1">
              <a:extLst>
                <a:ext uri="{63B3BB69-23CF-44E3-9099-C40C66FF867C}">
                  <a14:compatExt spid="_x0000_s237819"/>
                </a:ext>
                <a:ext uri="{FF2B5EF4-FFF2-40B4-BE49-F238E27FC236}">
                  <a16:creationId xmlns:a16="http://schemas.microsoft.com/office/drawing/2014/main" id="{00000000-0008-0000-0300-0000FBA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6572250</xdr:colOff>
          <xdr:row>10</xdr:row>
          <xdr:rowOff>3000375</xdr:rowOff>
        </xdr:from>
        <xdr:to>
          <xdr:col>10</xdr:col>
          <xdr:colOff>0</xdr:colOff>
          <xdr:row>14</xdr:row>
          <xdr:rowOff>104775</xdr:rowOff>
        </xdr:to>
        <xdr:sp macro="" textlink="">
          <xdr:nvSpPr>
            <xdr:cNvPr id="237830" name="Group Box 1286" hidden="1">
              <a:extLst>
                <a:ext uri="{63B3BB69-23CF-44E3-9099-C40C66FF867C}">
                  <a14:compatExt spid="_x0000_s237830"/>
                </a:ext>
                <a:ext uri="{FF2B5EF4-FFF2-40B4-BE49-F238E27FC236}">
                  <a16:creationId xmlns:a16="http://schemas.microsoft.com/office/drawing/2014/main" id="{00000000-0008-0000-0300-000006A1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6867525</xdr:colOff>
          <xdr:row>16</xdr:row>
          <xdr:rowOff>3000375</xdr:rowOff>
        </xdr:from>
        <xdr:to>
          <xdr:col>6</xdr:col>
          <xdr:colOff>0</xdr:colOff>
          <xdr:row>18</xdr:row>
          <xdr:rowOff>9525</xdr:rowOff>
        </xdr:to>
        <xdr:sp macro="" textlink="">
          <xdr:nvSpPr>
            <xdr:cNvPr id="238393" name="Group Box 1849" hidden="1">
              <a:extLst>
                <a:ext uri="{63B3BB69-23CF-44E3-9099-C40C66FF867C}">
                  <a14:compatExt spid="_x0000_s238393"/>
                </a:ext>
                <a:ext uri="{FF2B5EF4-FFF2-40B4-BE49-F238E27FC236}">
                  <a16:creationId xmlns:a16="http://schemas.microsoft.com/office/drawing/2014/main" id="{00000000-0008-0000-0300-000039A3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6867525</xdr:colOff>
          <xdr:row>18</xdr:row>
          <xdr:rowOff>3000375</xdr:rowOff>
        </xdr:from>
        <xdr:to>
          <xdr:col>6</xdr:col>
          <xdr:colOff>0</xdr:colOff>
          <xdr:row>21</xdr:row>
          <xdr:rowOff>85725</xdr:rowOff>
        </xdr:to>
        <xdr:sp macro="" textlink="">
          <xdr:nvSpPr>
            <xdr:cNvPr id="366744" name="Group Box 2200" hidden="1">
              <a:extLst>
                <a:ext uri="{63B3BB69-23CF-44E3-9099-C40C66FF867C}">
                  <a14:compatExt spid="_x0000_s366744"/>
                </a:ext>
                <a:ext uri="{FF2B5EF4-FFF2-40B4-BE49-F238E27FC236}">
                  <a16:creationId xmlns:a16="http://schemas.microsoft.com/office/drawing/2014/main" id="{00000000-0008-0000-0300-0000989805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1849</a:t>
              </a:r>
            </a:p>
          </xdr:txBody>
        </xdr:sp>
        <xdr:clientData/>
      </xdr:twoCellAnchor>
    </mc:Choice>
    <mc:Fallback/>
  </mc:AlternateContent>
  <xdr:twoCellAnchor editAs="oneCell">
    <xdr:from>
      <xdr:col>6</xdr:col>
      <xdr:colOff>95250</xdr:colOff>
      <xdr:row>0</xdr:row>
      <xdr:rowOff>241300</xdr:rowOff>
    </xdr:from>
    <xdr:to>
      <xdr:col>12</xdr:col>
      <xdr:colOff>0</xdr:colOff>
      <xdr:row>1</xdr:row>
      <xdr:rowOff>539750</xdr:rowOff>
    </xdr:to>
    <xdr:pic>
      <xdr:nvPicPr>
        <xdr:cNvPr id="366959" name="Picture 1">
          <a:extLst>
            <a:ext uri="{FF2B5EF4-FFF2-40B4-BE49-F238E27FC236}">
              <a16:creationId xmlns:a16="http://schemas.microsoft.com/office/drawing/2014/main" id="{00000000-0008-0000-0300-00006F99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1050" y="241300"/>
          <a:ext cx="4902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31750</xdr:colOff>
      <xdr:row>0</xdr:row>
      <xdr:rowOff>228600</xdr:rowOff>
    </xdr:from>
    <xdr:to>
      <xdr:col>12</xdr:col>
      <xdr:colOff>0</xdr:colOff>
      <xdr:row>1</xdr:row>
      <xdr:rowOff>542925</xdr:rowOff>
    </xdr:to>
    <xdr:pic>
      <xdr:nvPicPr>
        <xdr:cNvPr id="373962" name="Picture 1">
          <a:extLst>
            <a:ext uri="{FF2B5EF4-FFF2-40B4-BE49-F238E27FC236}">
              <a16:creationId xmlns:a16="http://schemas.microsoft.com/office/drawing/2014/main" id="{00000000-0008-0000-0400-0000CAB4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0950" y="228600"/>
          <a:ext cx="46990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450850</xdr:colOff>
      <xdr:row>0</xdr:row>
      <xdr:rowOff>107950</xdr:rowOff>
    </xdr:from>
    <xdr:to>
      <xdr:col>11</xdr:col>
      <xdr:colOff>692150</xdr:colOff>
      <xdr:row>1</xdr:row>
      <xdr:rowOff>558800</xdr:rowOff>
    </xdr:to>
    <xdr:pic>
      <xdr:nvPicPr>
        <xdr:cNvPr id="374986" name="Picture 1">
          <a:extLst>
            <a:ext uri="{FF2B5EF4-FFF2-40B4-BE49-F238E27FC236}">
              <a16:creationId xmlns:a16="http://schemas.microsoft.com/office/drawing/2014/main" id="{00000000-0008-0000-0500-0000CAB8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8550" y="107950"/>
          <a:ext cx="529590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1905</xdr:colOff>
      <xdr:row>9</xdr:row>
      <xdr:rowOff>151130</xdr:rowOff>
    </xdr:from>
    <xdr:to>
      <xdr:col>3</xdr:col>
      <xdr:colOff>3081</xdr:colOff>
      <xdr:row>10</xdr:row>
      <xdr:rowOff>149955</xdr:rowOff>
    </xdr:to>
    <xdr:sp macro="" textlink="">
      <xdr:nvSpPr>
        <xdr:cNvPr id="5" name="Check Box 15" hidden="1">
          <a:extLst>
            <a:ext uri="{FF2B5EF4-FFF2-40B4-BE49-F238E27FC236}">
              <a16:creationId xmlns:a16="http://schemas.microsoft.com/office/drawing/2014/main" id="{00000000-0008-0000-0600-000005000000}"/>
            </a:ext>
          </a:extLst>
        </xdr:cNvPr>
        <xdr:cNvSpPr/>
      </xdr:nvSpPr>
      <xdr:spPr>
        <a:xfrm>
          <a:off x="5876925" y="2162175"/>
          <a:ext cx="605750" cy="17335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3</xdr:row>
          <xdr:rowOff>0</xdr:rowOff>
        </xdr:from>
        <xdr:to>
          <xdr:col>14</xdr:col>
          <xdr:colOff>0</xdr:colOff>
          <xdr:row>3</xdr:row>
          <xdr:rowOff>0</xdr:rowOff>
        </xdr:to>
        <xdr:sp macro="" textlink="">
          <xdr:nvSpPr>
            <xdr:cNvPr id="56333" name="Check Box 13" hidden="1">
              <a:extLst>
                <a:ext uri="{63B3BB69-23CF-44E3-9099-C40C66FF867C}">
                  <a14:compatExt spid="_x0000_s56333"/>
                </a:ext>
                <a:ext uri="{FF2B5EF4-FFF2-40B4-BE49-F238E27FC236}">
                  <a16:creationId xmlns:a16="http://schemas.microsoft.com/office/drawing/2014/main" id="{00000000-0008-0000-06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xdr:row>
          <xdr:rowOff>0</xdr:rowOff>
        </xdr:from>
        <xdr:to>
          <xdr:col>14</xdr:col>
          <xdr:colOff>0</xdr:colOff>
          <xdr:row>3</xdr:row>
          <xdr:rowOff>0</xdr:rowOff>
        </xdr:to>
        <xdr:sp macro="" textlink="">
          <xdr:nvSpPr>
            <xdr:cNvPr id="56334" name="Check Box 14" hidden="1">
              <a:extLst>
                <a:ext uri="{63B3BB69-23CF-44E3-9099-C40C66FF867C}">
                  <a14:compatExt spid="_x0000_s56334"/>
                </a:ext>
                <a:ext uri="{FF2B5EF4-FFF2-40B4-BE49-F238E27FC236}">
                  <a16:creationId xmlns:a16="http://schemas.microsoft.com/office/drawing/2014/main" id="{00000000-0008-0000-06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Replacement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5</xdr:row>
          <xdr:rowOff>76200</xdr:rowOff>
        </xdr:from>
        <xdr:to>
          <xdr:col>2</xdr:col>
          <xdr:colOff>3429000</xdr:colOff>
          <xdr:row>6</xdr:row>
          <xdr:rowOff>19050</xdr:rowOff>
        </xdr:to>
        <xdr:sp macro="" textlink="">
          <xdr:nvSpPr>
            <xdr:cNvPr id="56498" name="Check Box 178" hidden="1">
              <a:extLst>
                <a:ext uri="{63B3BB69-23CF-44E3-9099-C40C66FF867C}">
                  <a14:compatExt spid="_x0000_s56498"/>
                </a:ext>
                <a:ext uri="{FF2B5EF4-FFF2-40B4-BE49-F238E27FC236}">
                  <a16:creationId xmlns:a16="http://schemas.microsoft.com/office/drawing/2014/main" id="{00000000-0008-0000-0600-0000B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Assignment Letter (only required if rebate is assigned to 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6</xdr:row>
          <xdr:rowOff>47625</xdr:rowOff>
        </xdr:from>
        <xdr:to>
          <xdr:col>2</xdr:col>
          <xdr:colOff>3429000</xdr:colOff>
          <xdr:row>7</xdr:row>
          <xdr:rowOff>9525</xdr:rowOff>
        </xdr:to>
        <xdr:sp macro="" textlink="">
          <xdr:nvSpPr>
            <xdr:cNvPr id="56499" name="Check Box 179" hidden="1">
              <a:extLst>
                <a:ext uri="{63B3BB69-23CF-44E3-9099-C40C66FF867C}">
                  <a14:compatExt spid="_x0000_s56499"/>
                </a:ext>
                <a:ext uri="{FF2B5EF4-FFF2-40B4-BE49-F238E27FC236}">
                  <a16:creationId xmlns:a16="http://schemas.microsoft.com/office/drawing/2014/main" id="{00000000-0008-0000-0600-0000B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Cut Sheets for All Measures (must identify model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13</xdr:row>
          <xdr:rowOff>76200</xdr:rowOff>
        </xdr:from>
        <xdr:to>
          <xdr:col>2</xdr:col>
          <xdr:colOff>3429000</xdr:colOff>
          <xdr:row>14</xdr:row>
          <xdr:rowOff>47625</xdr:rowOff>
        </xdr:to>
        <xdr:sp macro="" textlink="">
          <xdr:nvSpPr>
            <xdr:cNvPr id="56501" name="Check Box 181" hidden="1">
              <a:extLst>
                <a:ext uri="{63B3BB69-23CF-44E3-9099-C40C66FF867C}">
                  <a14:compatExt spid="_x0000_s56501"/>
                </a:ext>
                <a:ext uri="{FF2B5EF4-FFF2-40B4-BE49-F238E27FC236}">
                  <a16:creationId xmlns:a16="http://schemas.microsoft.com/office/drawing/2014/main" id="{00000000-0008-0000-0600-0000B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Proof of Payment (reflecting total installed cost)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8</xdr:row>
          <xdr:rowOff>57150</xdr:rowOff>
        </xdr:from>
        <xdr:to>
          <xdr:col>2</xdr:col>
          <xdr:colOff>3429000</xdr:colOff>
          <xdr:row>9</xdr:row>
          <xdr:rowOff>9525</xdr:rowOff>
        </xdr:to>
        <xdr:sp macro="" textlink="">
          <xdr:nvSpPr>
            <xdr:cNvPr id="56502" name="Check Box 182" hidden="1">
              <a:extLst>
                <a:ext uri="{63B3BB69-23CF-44E3-9099-C40C66FF867C}">
                  <a14:compatExt spid="_x0000_s56502"/>
                </a:ext>
                <a:ext uri="{FF2B5EF4-FFF2-40B4-BE49-F238E27FC236}">
                  <a16:creationId xmlns:a16="http://schemas.microsoft.com/office/drawing/2014/main" id="{00000000-0008-0000-0600-0000B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W9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12</xdr:row>
          <xdr:rowOff>47625</xdr:rowOff>
        </xdr:from>
        <xdr:to>
          <xdr:col>2</xdr:col>
          <xdr:colOff>3429000</xdr:colOff>
          <xdr:row>13</xdr:row>
          <xdr:rowOff>19050</xdr:rowOff>
        </xdr:to>
        <xdr:sp macro="" textlink="">
          <xdr:nvSpPr>
            <xdr:cNvPr id="56503" name="Check Box 183" hidden="1">
              <a:extLst>
                <a:ext uri="{63B3BB69-23CF-44E3-9099-C40C66FF867C}">
                  <a14:compatExt spid="_x0000_s56503"/>
                </a:ext>
                <a:ext uri="{FF2B5EF4-FFF2-40B4-BE49-F238E27FC236}">
                  <a16:creationId xmlns:a16="http://schemas.microsoft.com/office/drawing/2014/main" id="{00000000-0008-0000-0600-0000B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Certification of Completion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10</xdr:row>
          <xdr:rowOff>47625</xdr:rowOff>
        </xdr:from>
        <xdr:to>
          <xdr:col>2</xdr:col>
          <xdr:colOff>3429000</xdr:colOff>
          <xdr:row>11</xdr:row>
          <xdr:rowOff>9525</xdr:rowOff>
        </xdr:to>
        <xdr:sp macro="" textlink="">
          <xdr:nvSpPr>
            <xdr:cNvPr id="56504" name="Check Box 184" hidden="1">
              <a:extLst>
                <a:ext uri="{63B3BB69-23CF-44E3-9099-C40C66FF867C}">
                  <a14:compatExt spid="_x0000_s56504"/>
                </a:ext>
                <a:ext uri="{FF2B5EF4-FFF2-40B4-BE49-F238E27FC236}">
                  <a16:creationId xmlns:a16="http://schemas.microsoft.com/office/drawing/2014/main" id="{00000000-0008-0000-0600-0000B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Pre-Inspection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9</xdr:row>
          <xdr:rowOff>47625</xdr:rowOff>
        </xdr:from>
        <xdr:to>
          <xdr:col>2</xdr:col>
          <xdr:colOff>3429000</xdr:colOff>
          <xdr:row>9</xdr:row>
          <xdr:rowOff>276225</xdr:rowOff>
        </xdr:to>
        <xdr:sp macro="" textlink="">
          <xdr:nvSpPr>
            <xdr:cNvPr id="56515" name="Check Box 195" hidden="1">
              <a:extLst>
                <a:ext uri="{63B3BB69-23CF-44E3-9099-C40C66FF867C}">
                  <a14:compatExt spid="_x0000_s56515"/>
                </a:ext>
                <a:ext uri="{FF2B5EF4-FFF2-40B4-BE49-F238E27FC236}">
                  <a16:creationId xmlns:a16="http://schemas.microsoft.com/office/drawing/2014/main" id="{00000000-0008-0000-0600-0000C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Completed Worksheet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11</xdr:row>
          <xdr:rowOff>57150</xdr:rowOff>
        </xdr:from>
        <xdr:to>
          <xdr:col>2</xdr:col>
          <xdr:colOff>3429000</xdr:colOff>
          <xdr:row>11</xdr:row>
          <xdr:rowOff>314325</xdr:rowOff>
        </xdr:to>
        <xdr:sp macro="" textlink="">
          <xdr:nvSpPr>
            <xdr:cNvPr id="56517" name="Check Box 197" hidden="1">
              <a:extLst>
                <a:ext uri="{63B3BB69-23CF-44E3-9099-C40C66FF867C}">
                  <a14:compatExt spid="_x0000_s56517"/>
                </a:ext>
                <a:ext uri="{FF2B5EF4-FFF2-40B4-BE49-F238E27FC236}">
                  <a16:creationId xmlns:a16="http://schemas.microsoft.com/office/drawing/2014/main" id="{00000000-0008-0000-0600-0000C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Vendor's Proposal (including itemized labor and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7</xdr:row>
          <xdr:rowOff>66675</xdr:rowOff>
        </xdr:from>
        <xdr:to>
          <xdr:col>2</xdr:col>
          <xdr:colOff>3429000</xdr:colOff>
          <xdr:row>8</xdr:row>
          <xdr:rowOff>9525</xdr:rowOff>
        </xdr:to>
        <xdr:sp macro="" textlink="">
          <xdr:nvSpPr>
            <xdr:cNvPr id="56522" name="Check Box 202" hidden="1">
              <a:extLst>
                <a:ext uri="{63B3BB69-23CF-44E3-9099-C40C66FF867C}">
                  <a14:compatExt spid="_x0000_s56522"/>
                </a:ext>
                <a:ext uri="{FF2B5EF4-FFF2-40B4-BE49-F238E27FC236}">
                  <a16:creationId xmlns:a16="http://schemas.microsoft.com/office/drawing/2014/main" id="{00000000-0008-0000-0600-0000C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Signed Application</a:t>
              </a:r>
            </a:p>
          </xdr:txBody>
        </xdr:sp>
        <xdr:clientData/>
      </xdr:twoCellAnchor>
    </mc:Choice>
    <mc:Fallback/>
  </mc:AlternateContent>
  <xdr:twoCellAnchor editAs="oneCell">
    <xdr:from>
      <xdr:col>4</xdr:col>
      <xdr:colOff>69850</xdr:colOff>
      <xdr:row>0</xdr:row>
      <xdr:rowOff>152400</xdr:rowOff>
    </xdr:from>
    <xdr:to>
      <xdr:col>8</xdr:col>
      <xdr:colOff>0</xdr:colOff>
      <xdr:row>1</xdr:row>
      <xdr:rowOff>609600</xdr:rowOff>
    </xdr:to>
    <xdr:pic>
      <xdr:nvPicPr>
        <xdr:cNvPr id="376213" name="Picture 1">
          <a:extLst>
            <a:ext uri="{FF2B5EF4-FFF2-40B4-BE49-F238E27FC236}">
              <a16:creationId xmlns:a16="http://schemas.microsoft.com/office/drawing/2014/main" id="{00000000-0008-0000-0600-000095BD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152400"/>
          <a:ext cx="50736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11525250</xdr:colOff>
      <xdr:row>46</xdr:row>
      <xdr:rowOff>0</xdr:rowOff>
    </xdr:from>
    <xdr:to>
      <xdr:col>13</xdr:col>
      <xdr:colOff>7923</xdr:colOff>
      <xdr:row>46</xdr:row>
      <xdr:rowOff>0</xdr:rowOff>
    </xdr:to>
    <xdr:pic>
      <xdr:nvPicPr>
        <xdr:cNvPr id="380415" name="Picture 5" descr="BiaxDEG24q23base.jpg">
          <a:extLst>
            <a:ext uri="{FF2B5EF4-FFF2-40B4-BE49-F238E27FC236}">
              <a16:creationId xmlns:a16="http://schemas.microsoft.com/office/drawing/2014/main" id="{00000000-0008-0000-0700-0000FFCD0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78300" y="26746200"/>
          <a:ext cx="1035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400050</xdr:colOff>
      <xdr:row>19</xdr:row>
      <xdr:rowOff>139700</xdr:rowOff>
    </xdr:from>
    <xdr:to>
      <xdr:col>11</xdr:col>
      <xdr:colOff>901700</xdr:colOff>
      <xdr:row>21</xdr:row>
      <xdr:rowOff>596900</xdr:rowOff>
    </xdr:to>
    <xdr:pic>
      <xdr:nvPicPr>
        <xdr:cNvPr id="380416" name="Picture 29">
          <a:extLst>
            <a:ext uri="{FF2B5EF4-FFF2-40B4-BE49-F238E27FC236}">
              <a16:creationId xmlns:a16="http://schemas.microsoft.com/office/drawing/2014/main" id="{00000000-0008-0000-0700-000000CE0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2598" t="5682" r="12598" b="15909"/>
        <a:stretch>
          <a:fillRect/>
        </a:stretch>
      </xdr:blipFill>
      <xdr:spPr bwMode="auto">
        <a:xfrm>
          <a:off x="15494000" y="13576300"/>
          <a:ext cx="501650" cy="1250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425450</xdr:colOff>
      <xdr:row>24</xdr:row>
      <xdr:rowOff>76200</xdr:rowOff>
    </xdr:from>
    <xdr:to>
      <xdr:col>11</xdr:col>
      <xdr:colOff>1123950</xdr:colOff>
      <xdr:row>24</xdr:row>
      <xdr:rowOff>2025650</xdr:rowOff>
    </xdr:to>
    <xdr:pic>
      <xdr:nvPicPr>
        <xdr:cNvPr id="380417" name="Picture 2">
          <a:extLst>
            <a:ext uri="{FF2B5EF4-FFF2-40B4-BE49-F238E27FC236}">
              <a16:creationId xmlns:a16="http://schemas.microsoft.com/office/drawing/2014/main" id="{00000000-0008-0000-0700-000001CE05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19400" y="15544800"/>
          <a:ext cx="698500" cy="194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374650</xdr:colOff>
      <xdr:row>9</xdr:row>
      <xdr:rowOff>114300</xdr:rowOff>
    </xdr:from>
    <xdr:to>
      <xdr:col>11</xdr:col>
      <xdr:colOff>901700</xdr:colOff>
      <xdr:row>10</xdr:row>
      <xdr:rowOff>260349</xdr:rowOff>
    </xdr:to>
    <xdr:pic>
      <xdr:nvPicPr>
        <xdr:cNvPr id="380418" name="Picture 3">
          <a:extLst>
            <a:ext uri="{FF2B5EF4-FFF2-40B4-BE49-F238E27FC236}">
              <a16:creationId xmlns:a16="http://schemas.microsoft.com/office/drawing/2014/main" id="{00000000-0008-0000-0700-000002CE05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468600" y="6432550"/>
          <a:ext cx="52705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393700</xdr:colOff>
      <xdr:row>6</xdr:row>
      <xdr:rowOff>488950</xdr:rowOff>
    </xdr:from>
    <xdr:to>
      <xdr:col>11</xdr:col>
      <xdr:colOff>1263650</xdr:colOff>
      <xdr:row>7</xdr:row>
      <xdr:rowOff>425450</xdr:rowOff>
    </xdr:to>
    <xdr:pic>
      <xdr:nvPicPr>
        <xdr:cNvPr id="380419" name="Picture 2">
          <a:extLst>
            <a:ext uri="{FF2B5EF4-FFF2-40B4-BE49-F238E27FC236}">
              <a16:creationId xmlns:a16="http://schemas.microsoft.com/office/drawing/2014/main" id="{00000000-0008-0000-0700-000003CE05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487650" y="3790950"/>
          <a:ext cx="869950" cy="134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323850</xdr:colOff>
      <xdr:row>26</xdr:row>
      <xdr:rowOff>6350</xdr:rowOff>
    </xdr:from>
    <xdr:to>
      <xdr:col>11</xdr:col>
      <xdr:colOff>920750</xdr:colOff>
      <xdr:row>29</xdr:row>
      <xdr:rowOff>133350</xdr:rowOff>
    </xdr:to>
    <xdr:pic>
      <xdr:nvPicPr>
        <xdr:cNvPr id="380420" name="Picture 28" descr="See the source image">
          <a:extLst>
            <a:ext uri="{FF2B5EF4-FFF2-40B4-BE49-F238E27FC236}">
              <a16:creationId xmlns:a16="http://schemas.microsoft.com/office/drawing/2014/main" id="{00000000-0008-0000-0700-000004CE05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417800" y="17862550"/>
          <a:ext cx="596900" cy="170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317500</xdr:colOff>
      <xdr:row>40</xdr:row>
      <xdr:rowOff>76200</xdr:rowOff>
    </xdr:from>
    <xdr:to>
      <xdr:col>11</xdr:col>
      <xdr:colOff>876300</xdr:colOff>
      <xdr:row>42</xdr:row>
      <xdr:rowOff>152400</xdr:rowOff>
    </xdr:to>
    <xdr:pic>
      <xdr:nvPicPr>
        <xdr:cNvPr id="380421" name="Picture 38" descr="See the source image">
          <a:extLst>
            <a:ext uri="{FF2B5EF4-FFF2-40B4-BE49-F238E27FC236}">
              <a16:creationId xmlns:a16="http://schemas.microsoft.com/office/drawing/2014/main" id="{00000000-0008-0000-0700-000005CE05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26561" t="4912" r="4633" b="9123"/>
        <a:stretch>
          <a:fillRect/>
        </a:stretch>
      </xdr:blipFill>
      <xdr:spPr bwMode="auto">
        <a:xfrm>
          <a:off x="15411450" y="23907750"/>
          <a:ext cx="558800"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355600</xdr:colOff>
      <xdr:row>42</xdr:row>
      <xdr:rowOff>285750</xdr:rowOff>
    </xdr:from>
    <xdr:to>
      <xdr:col>11</xdr:col>
      <xdr:colOff>1009650</xdr:colOff>
      <xdr:row>45</xdr:row>
      <xdr:rowOff>292100</xdr:rowOff>
    </xdr:to>
    <xdr:pic>
      <xdr:nvPicPr>
        <xdr:cNvPr id="380422" name="mainImage" descr="Hydraulic Door Closer with 1 1/8&quot; Offset">
          <a:extLst>
            <a:ext uri="{FF2B5EF4-FFF2-40B4-BE49-F238E27FC236}">
              <a16:creationId xmlns:a16="http://schemas.microsoft.com/office/drawing/2014/main" id="{00000000-0008-0000-0700-000006CE05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t="15891" b="15254"/>
        <a:stretch>
          <a:fillRect/>
        </a:stretch>
      </xdr:blipFill>
      <xdr:spPr bwMode="auto">
        <a:xfrm>
          <a:off x="15449550" y="24930100"/>
          <a:ext cx="654050"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342900</xdr:colOff>
      <xdr:row>15</xdr:row>
      <xdr:rowOff>0</xdr:rowOff>
    </xdr:from>
    <xdr:to>
      <xdr:col>11</xdr:col>
      <xdr:colOff>990600</xdr:colOff>
      <xdr:row>17</xdr:row>
      <xdr:rowOff>2116</xdr:rowOff>
    </xdr:to>
    <xdr:pic>
      <xdr:nvPicPr>
        <xdr:cNvPr id="380423" name="Picture 42" descr="See the source image">
          <a:extLst>
            <a:ext uri="{FF2B5EF4-FFF2-40B4-BE49-F238E27FC236}">
              <a16:creationId xmlns:a16="http://schemas.microsoft.com/office/drawing/2014/main" id="{00000000-0008-0000-0700-000007CE05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436850" y="10807700"/>
          <a:ext cx="6477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361950</xdr:colOff>
      <xdr:row>12</xdr:row>
      <xdr:rowOff>190500</xdr:rowOff>
    </xdr:from>
    <xdr:to>
      <xdr:col>11</xdr:col>
      <xdr:colOff>1035050</xdr:colOff>
      <xdr:row>12</xdr:row>
      <xdr:rowOff>819150</xdr:rowOff>
    </xdr:to>
    <xdr:pic>
      <xdr:nvPicPr>
        <xdr:cNvPr id="380424" name="Picture 44" descr="Image result for motion sensor">
          <a:extLst>
            <a:ext uri="{FF2B5EF4-FFF2-40B4-BE49-F238E27FC236}">
              <a16:creationId xmlns:a16="http://schemas.microsoft.com/office/drawing/2014/main" id="{00000000-0008-0000-0700-000008CE05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l="11932" r="11694"/>
        <a:stretch>
          <a:fillRect/>
        </a:stretch>
      </xdr:blipFill>
      <xdr:spPr bwMode="auto">
        <a:xfrm>
          <a:off x="15455900" y="8629650"/>
          <a:ext cx="6731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323850</xdr:colOff>
      <xdr:row>37</xdr:row>
      <xdr:rowOff>266700</xdr:rowOff>
    </xdr:from>
    <xdr:to>
      <xdr:col>11</xdr:col>
      <xdr:colOff>939800</xdr:colOff>
      <xdr:row>38</xdr:row>
      <xdr:rowOff>266702</xdr:rowOff>
    </xdr:to>
    <xdr:pic>
      <xdr:nvPicPr>
        <xdr:cNvPr id="380425" name="Picture 46" descr="Image result for refrigerator strip curtains">
          <a:extLst>
            <a:ext uri="{FF2B5EF4-FFF2-40B4-BE49-F238E27FC236}">
              <a16:creationId xmlns:a16="http://schemas.microsoft.com/office/drawing/2014/main" id="{00000000-0008-0000-0700-000009CE05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10172" t="3758" r="5603"/>
        <a:stretch>
          <a:fillRect/>
        </a:stretch>
      </xdr:blipFill>
      <xdr:spPr bwMode="auto">
        <a:xfrm>
          <a:off x="15417800" y="22701250"/>
          <a:ext cx="61595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336550</xdr:colOff>
      <xdr:row>34</xdr:row>
      <xdr:rowOff>139700</xdr:rowOff>
    </xdr:from>
    <xdr:to>
      <xdr:col>11</xdr:col>
      <xdr:colOff>939800</xdr:colOff>
      <xdr:row>36</xdr:row>
      <xdr:rowOff>266700</xdr:rowOff>
    </xdr:to>
    <xdr:pic>
      <xdr:nvPicPr>
        <xdr:cNvPr id="380426" name="Picture 48" descr="Image result for refrigerated case grocery door retrofit">
          <a:extLst>
            <a:ext uri="{FF2B5EF4-FFF2-40B4-BE49-F238E27FC236}">
              <a16:creationId xmlns:a16="http://schemas.microsoft.com/office/drawing/2014/main" id="{00000000-0008-0000-0700-00000ACE05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t="4861" r="14407"/>
        <a:stretch>
          <a:fillRect/>
        </a:stretch>
      </xdr:blipFill>
      <xdr:spPr bwMode="auto">
        <a:xfrm>
          <a:off x="15430500" y="21183600"/>
          <a:ext cx="603250"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2108200</xdr:colOff>
      <xdr:row>0</xdr:row>
      <xdr:rowOff>133350</xdr:rowOff>
    </xdr:from>
    <xdr:to>
      <xdr:col>11</xdr:col>
      <xdr:colOff>828675</xdr:colOff>
      <xdr:row>2</xdr:row>
      <xdr:rowOff>38100</xdr:rowOff>
    </xdr:to>
    <xdr:pic>
      <xdr:nvPicPr>
        <xdr:cNvPr id="380427" name="Picture 1">
          <a:extLst>
            <a:ext uri="{FF2B5EF4-FFF2-40B4-BE49-F238E27FC236}">
              <a16:creationId xmlns:a16="http://schemas.microsoft.com/office/drawing/2014/main" id="{00000000-0008-0000-0700-00000BCE05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0775950" y="133350"/>
          <a:ext cx="648335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171450</xdr:colOff>
          <xdr:row>12</xdr:row>
          <xdr:rowOff>514350</xdr:rowOff>
        </xdr:from>
        <xdr:to>
          <xdr:col>7</xdr:col>
          <xdr:colOff>0</xdr:colOff>
          <xdr:row>13</xdr:row>
          <xdr:rowOff>571500</xdr:rowOff>
        </xdr:to>
        <xdr:sp macro="" textlink="">
          <xdr:nvSpPr>
            <xdr:cNvPr id="289252" name="Check Box 484" hidden="1">
              <a:extLst>
                <a:ext uri="{63B3BB69-23CF-44E3-9099-C40C66FF867C}">
                  <a14:compatExt spid="_x0000_s289252"/>
                </a:ext>
                <a:ext uri="{FF2B5EF4-FFF2-40B4-BE49-F238E27FC236}">
                  <a16:creationId xmlns:a16="http://schemas.microsoft.com/office/drawing/2014/main" id="{00000000-0008-0000-0800-0000E469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Pre-Inspection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xdr:row>
          <xdr:rowOff>857250</xdr:rowOff>
        </xdr:from>
        <xdr:to>
          <xdr:col>7</xdr:col>
          <xdr:colOff>0</xdr:colOff>
          <xdr:row>15</xdr:row>
          <xdr:rowOff>0</xdr:rowOff>
        </xdr:to>
        <xdr:sp macro="" textlink="">
          <xdr:nvSpPr>
            <xdr:cNvPr id="289253" name="Check Box 485" hidden="1">
              <a:extLst>
                <a:ext uri="{63B3BB69-23CF-44E3-9099-C40C66FF867C}">
                  <a14:compatExt spid="_x0000_s289253"/>
                </a:ext>
                <a:ext uri="{FF2B5EF4-FFF2-40B4-BE49-F238E27FC236}">
                  <a16:creationId xmlns:a16="http://schemas.microsoft.com/office/drawing/2014/main" id="{00000000-0008-0000-0800-0000E569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Post-Inspection</a:t>
              </a:r>
            </a:p>
          </xdr:txBody>
        </xdr:sp>
        <xdr:clientData/>
      </xdr:twoCellAnchor>
    </mc:Choice>
    <mc:Fallback/>
  </mc:AlternateContent>
  <xdr:twoCellAnchor editAs="oneCell">
    <xdr:from>
      <xdr:col>6</xdr:col>
      <xdr:colOff>1238250</xdr:colOff>
      <xdr:row>0</xdr:row>
      <xdr:rowOff>0</xdr:rowOff>
    </xdr:from>
    <xdr:to>
      <xdr:col>11</xdr:col>
      <xdr:colOff>38100</xdr:colOff>
      <xdr:row>3</xdr:row>
      <xdr:rowOff>19050</xdr:rowOff>
    </xdr:to>
    <xdr:pic>
      <xdr:nvPicPr>
        <xdr:cNvPr id="377034" name="Picture 1">
          <a:extLst>
            <a:ext uri="{FF2B5EF4-FFF2-40B4-BE49-F238E27FC236}">
              <a16:creationId xmlns:a16="http://schemas.microsoft.com/office/drawing/2014/main" id="{00000000-0008-0000-0800-0000CAC0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0800" y="0"/>
          <a:ext cx="50038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lients\LIPA\PDI\Planning%20Folder\Programs\Commercial%20Efficiency\2014%20Planning\Completed%20New%20Logo%20Applications\Quarter%203\PSEGLI_2014%20Lighting%20Retrofit%20Worksheet%20VERSION%202014%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lients\LIPA\PDI\Planning%20Folder\Programs\Commercial%20Efficiency\2012%20Final%20Applications\Quarter%203\Potential%20Quarter%202%20Upd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ustomer Inputs"/>
      <sheetName val="Summary"/>
      <sheetName val="Eligibility Table"/>
      <sheetName val="SSL Eligibility Table"/>
      <sheetName val="Device Code Legend"/>
      <sheetName val="Wattage Table"/>
      <sheetName val="AccountEquipment0"/>
      <sheetName val="References"/>
      <sheetName val="ProposedEquipment0"/>
      <sheetName val="LightingProducts"/>
      <sheetName val="Classes"/>
      <sheetName val="Calculations"/>
      <sheetName val="Development"/>
      <sheetName val="Pre_Inspection_Form"/>
      <sheetName val="Post_Inspection_Form"/>
      <sheetName val="Match_Table"/>
      <sheetName val="ADMIN"/>
      <sheetName val="ADMIN 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6.bin"/><Relationship Id="rId7" Type="http://schemas.openxmlformats.org/officeDocument/2006/relationships/ctrlProp" Target="../ctrlProps/ctrlProp2.xml"/><Relationship Id="rId2" Type="http://schemas.openxmlformats.org/officeDocument/2006/relationships/hyperlink" Target="https://www.nyserda.ny.gov/ny/Disadvantaged-Communities" TargetMode="External"/><Relationship Id="rId1" Type="http://schemas.openxmlformats.org/officeDocument/2006/relationships/printerSettings" Target="../printerSettings/printerSettings5.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 Id="rId9"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psegliny.com/businessandcontractorservices/businessandcommercialsavings/rebates" TargetMode="External"/><Relationship Id="rId7" Type="http://schemas.openxmlformats.org/officeDocument/2006/relationships/drawing" Target="../drawings/drawing4.xml"/><Relationship Id="rId2" Type="http://schemas.openxmlformats.org/officeDocument/2006/relationships/hyperlink" Target="mailto:CEPLI@pseg.com" TargetMode="External"/><Relationship Id="rId1" Type="http://schemas.openxmlformats.org/officeDocument/2006/relationships/printerSettings" Target="../printerSettings/printerSettings9.bin"/><Relationship Id="rId6" Type="http://schemas.openxmlformats.org/officeDocument/2006/relationships/printerSettings" Target="../printerSettings/printerSettings10.bin"/><Relationship Id="rId5" Type="http://schemas.openxmlformats.org/officeDocument/2006/relationships/hyperlink" Target="http://www.pseglinyportal.com/" TargetMode="External"/><Relationship Id="rId4" Type="http://schemas.openxmlformats.org/officeDocument/2006/relationships/hyperlink" Target="https://www.psegliny.com/businessandcontractorservices/businessandcommercialsavings/rebates" TargetMode="Externa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drawing" Target="../drawings/drawing5.x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vmlDrawing" Target="../drawings/vmlDrawing2.v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5.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0000"/>
  </sheetPr>
  <dimension ref="A3:BF194"/>
  <sheetViews>
    <sheetView zoomScale="90" zoomScaleNormal="90" workbookViewId="0">
      <selection activeCell="D22" sqref="D22"/>
    </sheetView>
  </sheetViews>
  <sheetFormatPr defaultRowHeight="15" x14ac:dyDescent="0.25"/>
  <cols>
    <col min="1" max="1" width="26.28515625" bestFit="1" customWidth="1"/>
    <col min="2" max="2" width="35.85546875" bestFit="1" customWidth="1"/>
    <col min="3" max="3" width="16.7109375" bestFit="1" customWidth="1"/>
    <col min="4" max="4" width="9.140625" customWidth="1"/>
    <col min="5" max="5" width="21.5703125" style="322" bestFit="1" customWidth="1"/>
    <col min="6" max="6" width="12.5703125" bestFit="1" customWidth="1"/>
    <col min="7" max="7" width="48.5703125" bestFit="1" customWidth="1"/>
    <col min="8" max="8" width="22.5703125" bestFit="1" customWidth="1"/>
    <col min="9" max="9" width="75.5703125" bestFit="1" customWidth="1"/>
    <col min="10" max="10" width="60.42578125" bestFit="1" customWidth="1"/>
    <col min="11" max="11" width="69.42578125" bestFit="1" customWidth="1"/>
    <col min="12" max="12" width="32.140625" bestFit="1" customWidth="1"/>
    <col min="13" max="13" width="30.5703125" bestFit="1" customWidth="1"/>
    <col min="14" max="14" width="48.85546875" bestFit="1" customWidth="1"/>
    <col min="15" max="15" width="23.28515625" bestFit="1" customWidth="1"/>
    <col min="16" max="16" width="31.7109375" bestFit="1" customWidth="1"/>
    <col min="17" max="17" width="51.28515625" bestFit="1" customWidth="1"/>
    <col min="18" max="18" width="33.5703125" bestFit="1" customWidth="1"/>
    <col min="19" max="19" width="36.28515625" bestFit="1" customWidth="1"/>
    <col min="20" max="20" width="39.5703125" bestFit="1" customWidth="1"/>
    <col min="21" max="21" width="36.28515625" bestFit="1" customWidth="1"/>
    <col min="22" max="22" width="26.140625" customWidth="1"/>
    <col min="23" max="23" width="16.140625" bestFit="1" customWidth="1"/>
    <col min="24" max="24" width="15.5703125" bestFit="1" customWidth="1"/>
    <col min="25" max="25" width="13.42578125" bestFit="1" customWidth="1"/>
    <col min="26" max="26" width="10.42578125" bestFit="1" customWidth="1"/>
    <col min="27" max="27" width="28.140625" bestFit="1" customWidth="1"/>
    <col min="28" max="28" width="16.140625" bestFit="1" customWidth="1"/>
    <col min="29" max="29" width="35.42578125" customWidth="1"/>
    <col min="30" max="30" width="23.7109375" bestFit="1" customWidth="1"/>
    <col min="31" max="31" width="26.42578125" bestFit="1" customWidth="1"/>
    <col min="32" max="32" width="23.5703125" bestFit="1" customWidth="1"/>
    <col min="33" max="33" width="24.85546875" customWidth="1"/>
    <col min="34" max="36" width="10.5703125" customWidth="1"/>
    <col min="37" max="37" width="18" customWidth="1"/>
    <col min="38" max="38" width="6" customWidth="1"/>
    <col min="39" max="39" width="9.140625" customWidth="1"/>
    <col min="40" max="40" width="60.42578125" bestFit="1" customWidth="1"/>
    <col min="41" max="41" width="14.140625" bestFit="1" customWidth="1"/>
    <col min="42" max="42" width="25.42578125" bestFit="1" customWidth="1"/>
    <col min="43" max="43" width="27.5703125" bestFit="1" customWidth="1"/>
    <col min="44" max="45" width="18.85546875" bestFit="1" customWidth="1"/>
    <col min="46" max="46" width="12.140625" bestFit="1" customWidth="1"/>
    <col min="47" max="47" width="24.5703125" bestFit="1" customWidth="1"/>
  </cols>
  <sheetData>
    <row r="3" spans="1:28" ht="33.75" customHeight="1" x14ac:dyDescent="0.25">
      <c r="A3" s="326" t="s">
        <v>0</v>
      </c>
      <c r="G3" s="326" t="s">
        <v>44</v>
      </c>
      <c r="N3" s="334" t="s">
        <v>336</v>
      </c>
      <c r="O3" s="334" t="s">
        <v>333</v>
      </c>
      <c r="P3" s="334" t="s">
        <v>334</v>
      </c>
      <c r="Q3" s="334" t="s">
        <v>335</v>
      </c>
      <c r="R3" s="335" t="s">
        <v>1048</v>
      </c>
      <c r="S3" s="335" t="s">
        <v>343</v>
      </c>
      <c r="T3" s="335" t="s">
        <v>355</v>
      </c>
      <c r="U3" s="335" t="s">
        <v>350</v>
      </c>
      <c r="V3" s="335" t="s">
        <v>344</v>
      </c>
      <c r="W3" s="335" t="s">
        <v>345</v>
      </c>
      <c r="X3" s="336" t="s">
        <v>351</v>
      </c>
      <c r="Y3" s="336" t="s">
        <v>607</v>
      </c>
      <c r="Z3" s="336" t="s">
        <v>18</v>
      </c>
      <c r="AA3" s="336" t="s">
        <v>1068</v>
      </c>
      <c r="AB3" s="336" t="s">
        <v>383</v>
      </c>
    </row>
    <row r="4" spans="1:28" x14ac:dyDescent="0.25">
      <c r="N4" s="242" t="s">
        <v>382</v>
      </c>
      <c r="O4" s="242" t="s">
        <v>1049</v>
      </c>
      <c r="P4" s="242" t="s">
        <v>1050</v>
      </c>
      <c r="Q4" s="242" t="s">
        <v>1051</v>
      </c>
      <c r="R4" s="337"/>
      <c r="S4" s="337">
        <v>0.94799999999999995</v>
      </c>
      <c r="T4" s="338">
        <v>7.1900000000000006E-2</v>
      </c>
      <c r="U4" s="339">
        <v>5.67E-2</v>
      </c>
      <c r="V4" s="337">
        <v>0.3</v>
      </c>
      <c r="W4" s="339">
        <v>1.55E-2</v>
      </c>
      <c r="X4" s="337">
        <v>0</v>
      </c>
      <c r="Y4" s="337">
        <v>1</v>
      </c>
      <c r="Z4" s="340">
        <v>50</v>
      </c>
      <c r="AA4" s="342">
        <f>Z4*1.25</f>
        <v>62.5</v>
      </c>
      <c r="AB4" s="242" t="s">
        <v>1052</v>
      </c>
    </row>
    <row r="5" spans="1:28" x14ac:dyDescent="0.25">
      <c r="N5" s="242" t="s">
        <v>951</v>
      </c>
      <c r="O5" s="242" t="s">
        <v>1049</v>
      </c>
      <c r="P5" s="242" t="s">
        <v>1050</v>
      </c>
      <c r="Q5" s="242" t="s">
        <v>1053</v>
      </c>
      <c r="R5" s="337"/>
      <c r="S5" s="337">
        <v>0.94799999999999995</v>
      </c>
      <c r="T5" s="338">
        <v>7.1900000000000006E-2</v>
      </c>
      <c r="U5" s="339">
        <v>5.67E-2</v>
      </c>
      <c r="V5" s="337">
        <v>0.3</v>
      </c>
      <c r="W5" s="339">
        <v>1.55E-2</v>
      </c>
      <c r="X5" s="337">
        <v>0</v>
      </c>
      <c r="Y5" s="337">
        <v>1</v>
      </c>
      <c r="Z5" s="340">
        <v>50</v>
      </c>
      <c r="AA5" s="342">
        <f t="shared" ref="AA5:AA28" si="0">Z5*1.25</f>
        <v>62.5</v>
      </c>
      <c r="AB5" s="242" t="s">
        <v>1052</v>
      </c>
    </row>
    <row r="6" spans="1:28" x14ac:dyDescent="0.25">
      <c r="B6" s="321" t="s">
        <v>375</v>
      </c>
      <c r="G6" s="347" t="s">
        <v>845</v>
      </c>
      <c r="H6" s="1"/>
      <c r="I6" s="347" t="s">
        <v>846</v>
      </c>
      <c r="N6" s="242" t="s">
        <v>1054</v>
      </c>
      <c r="O6" s="242" t="s">
        <v>1055</v>
      </c>
      <c r="P6" s="242" t="s">
        <v>1056</v>
      </c>
      <c r="Q6" s="242" t="s">
        <v>360</v>
      </c>
      <c r="R6" s="337"/>
      <c r="S6" s="337">
        <v>0.72</v>
      </c>
      <c r="T6" s="338">
        <v>7.1900000000000006E-2</v>
      </c>
      <c r="U6" s="339">
        <v>5.67E-2</v>
      </c>
      <c r="V6" s="337">
        <v>0.3</v>
      </c>
      <c r="W6" s="339">
        <v>1.55E-2</v>
      </c>
      <c r="X6" s="337">
        <v>0</v>
      </c>
      <c r="Y6" s="337">
        <v>1</v>
      </c>
      <c r="Z6" s="340">
        <v>500</v>
      </c>
      <c r="AA6" s="342">
        <f t="shared" si="0"/>
        <v>625</v>
      </c>
      <c r="AB6" s="242" t="s">
        <v>1057</v>
      </c>
    </row>
    <row r="7" spans="1:28" x14ac:dyDescent="0.25">
      <c r="B7" s="320" t="s">
        <v>766</v>
      </c>
      <c r="G7" s="348" t="s">
        <v>847</v>
      </c>
      <c r="H7" s="1"/>
      <c r="I7" s="348" t="s">
        <v>848</v>
      </c>
      <c r="N7" s="242" t="s">
        <v>46</v>
      </c>
      <c r="O7" s="242" t="s">
        <v>1055</v>
      </c>
      <c r="P7" s="242" t="s">
        <v>1056</v>
      </c>
      <c r="Q7" s="242" t="s">
        <v>1058</v>
      </c>
      <c r="R7" s="337"/>
      <c r="S7" s="337">
        <v>1.53</v>
      </c>
      <c r="T7" s="338">
        <v>7.1900000000000006E-2</v>
      </c>
      <c r="U7" s="339">
        <v>5.67E-2</v>
      </c>
      <c r="V7" s="337">
        <v>0.3</v>
      </c>
      <c r="W7" s="339">
        <v>1.55E-2</v>
      </c>
      <c r="X7" s="337">
        <v>0</v>
      </c>
      <c r="Y7" s="337">
        <v>1</v>
      </c>
      <c r="Z7" s="340">
        <v>100</v>
      </c>
      <c r="AA7" s="342">
        <f t="shared" si="0"/>
        <v>125</v>
      </c>
      <c r="AB7" s="242" t="s">
        <v>383</v>
      </c>
    </row>
    <row r="8" spans="1:28" x14ac:dyDescent="0.25">
      <c r="A8">
        <v>7</v>
      </c>
      <c r="B8" s="290" t="s">
        <v>369</v>
      </c>
      <c r="G8" s="294" t="s">
        <v>847</v>
      </c>
      <c r="H8" s="1"/>
      <c r="I8" s="294" t="s">
        <v>848</v>
      </c>
      <c r="N8" s="242" t="s">
        <v>98</v>
      </c>
      <c r="O8" s="242" t="s">
        <v>1055</v>
      </c>
      <c r="P8" s="242" t="s">
        <v>850</v>
      </c>
      <c r="Q8" s="242" t="s">
        <v>1059</v>
      </c>
      <c r="R8" s="337"/>
      <c r="S8" s="337">
        <v>1.53</v>
      </c>
      <c r="T8" s="338">
        <v>7.1900000000000006E-2</v>
      </c>
      <c r="U8" s="339">
        <v>5.67E-2</v>
      </c>
      <c r="V8" s="337">
        <v>0.3</v>
      </c>
      <c r="W8" s="339">
        <v>1.55E-2</v>
      </c>
      <c r="X8" s="337">
        <v>0</v>
      </c>
      <c r="Y8" s="337">
        <v>1</v>
      </c>
      <c r="Z8" s="340">
        <v>60</v>
      </c>
      <c r="AA8" s="342">
        <f t="shared" si="0"/>
        <v>75</v>
      </c>
      <c r="AB8" s="242" t="s">
        <v>383</v>
      </c>
    </row>
    <row r="9" spans="1:28" x14ac:dyDescent="0.25">
      <c r="A9">
        <v>9</v>
      </c>
      <c r="B9" s="290" t="s">
        <v>364</v>
      </c>
      <c r="G9" s="294" t="s">
        <v>849</v>
      </c>
      <c r="H9" s="1"/>
      <c r="I9" s="294" t="s">
        <v>850</v>
      </c>
      <c r="N9" s="242" t="s">
        <v>1060</v>
      </c>
      <c r="O9" s="242" t="s">
        <v>1055</v>
      </c>
      <c r="P9" s="242" t="s">
        <v>850</v>
      </c>
      <c r="Q9" s="242" t="s">
        <v>373</v>
      </c>
      <c r="R9" s="337"/>
      <c r="S9" s="337">
        <v>0.72</v>
      </c>
      <c r="T9" s="338">
        <v>7.1900000000000006E-2</v>
      </c>
      <c r="U9" s="339">
        <v>5.67E-2</v>
      </c>
      <c r="V9" s="337">
        <v>0.3</v>
      </c>
      <c r="W9" s="339">
        <v>1.55E-2</v>
      </c>
      <c r="X9" s="337">
        <v>0</v>
      </c>
      <c r="Y9" s="337">
        <v>1</v>
      </c>
      <c r="Z9" s="340">
        <v>500</v>
      </c>
      <c r="AA9" s="342">
        <f t="shared" si="0"/>
        <v>625</v>
      </c>
      <c r="AB9" s="242" t="s">
        <v>1057</v>
      </c>
    </row>
    <row r="10" spans="1:28" x14ac:dyDescent="0.25">
      <c r="A10">
        <v>10</v>
      </c>
      <c r="B10" s="290" t="s">
        <v>363</v>
      </c>
      <c r="N10" s="242" t="s">
        <v>480</v>
      </c>
      <c r="O10" s="242" t="s">
        <v>1055</v>
      </c>
      <c r="P10" s="242" t="s">
        <v>850</v>
      </c>
      <c r="Q10" s="242" t="s">
        <v>530</v>
      </c>
      <c r="R10" s="337"/>
      <c r="S10" s="337">
        <v>0.72</v>
      </c>
      <c r="T10" s="338">
        <v>7.1900000000000006E-2</v>
      </c>
      <c r="U10" s="339">
        <v>5.67E-2</v>
      </c>
      <c r="V10" s="337">
        <v>0.3</v>
      </c>
      <c r="W10" s="339">
        <v>1.55E-2</v>
      </c>
      <c r="X10" s="337">
        <v>0</v>
      </c>
      <c r="Y10" s="337">
        <v>1</v>
      </c>
      <c r="Z10" s="340">
        <v>10</v>
      </c>
      <c r="AA10" s="342">
        <f t="shared" si="0"/>
        <v>12.5</v>
      </c>
      <c r="AB10" s="242" t="s">
        <v>1061</v>
      </c>
    </row>
    <row r="11" spans="1:28" x14ac:dyDescent="0.25">
      <c r="A11">
        <v>2</v>
      </c>
      <c r="B11" s="290" t="s">
        <v>365</v>
      </c>
      <c r="N11" s="242" t="s">
        <v>503</v>
      </c>
      <c r="O11" s="242" t="s">
        <v>1055</v>
      </c>
      <c r="P11" s="242" t="s">
        <v>1056</v>
      </c>
      <c r="Q11" s="242" t="s">
        <v>531</v>
      </c>
      <c r="R11" s="337"/>
      <c r="S11" s="337">
        <v>0</v>
      </c>
      <c r="T11" s="338">
        <v>7.1900000000000006E-2</v>
      </c>
      <c r="U11" s="339">
        <v>5.67E-2</v>
      </c>
      <c r="V11" s="337">
        <v>0.3</v>
      </c>
      <c r="W11" s="339">
        <v>1.55E-2</v>
      </c>
      <c r="X11" s="337">
        <v>0</v>
      </c>
      <c r="Y11" s="337">
        <v>1</v>
      </c>
      <c r="Z11" s="340">
        <v>20</v>
      </c>
      <c r="AA11" s="342">
        <f t="shared" si="0"/>
        <v>25</v>
      </c>
      <c r="AB11" s="242" t="s">
        <v>1062</v>
      </c>
    </row>
    <row r="12" spans="1:28" x14ac:dyDescent="0.25">
      <c r="A12">
        <v>12</v>
      </c>
      <c r="B12" s="290" t="s">
        <v>370</v>
      </c>
      <c r="N12" s="242" t="s">
        <v>48</v>
      </c>
      <c r="O12" s="242" t="s">
        <v>1055</v>
      </c>
      <c r="P12" s="242" t="s">
        <v>1055</v>
      </c>
      <c r="Q12" s="242" t="s">
        <v>515</v>
      </c>
      <c r="R12" s="341"/>
      <c r="S12" s="341">
        <v>0.77</v>
      </c>
      <c r="T12" s="338">
        <v>7.1900000000000006E-2</v>
      </c>
      <c r="U12" s="339">
        <v>5.67E-2</v>
      </c>
      <c r="V12" s="337">
        <v>0.3</v>
      </c>
      <c r="W12" s="339">
        <v>1.55E-2</v>
      </c>
      <c r="X12" s="341">
        <v>0</v>
      </c>
      <c r="Y12" s="341">
        <v>1</v>
      </c>
      <c r="Z12" s="340">
        <v>110</v>
      </c>
      <c r="AA12" s="342">
        <f t="shared" si="0"/>
        <v>137.5</v>
      </c>
      <c r="AB12" s="242"/>
    </row>
    <row r="13" spans="1:28" x14ac:dyDescent="0.25">
      <c r="A13">
        <v>11</v>
      </c>
      <c r="B13" s="290" t="s">
        <v>367</v>
      </c>
      <c r="N13" s="242" t="s">
        <v>482</v>
      </c>
      <c r="O13" s="242" t="s">
        <v>1055</v>
      </c>
      <c r="P13" s="242" t="s">
        <v>1055</v>
      </c>
      <c r="Q13" s="242" t="s">
        <v>516</v>
      </c>
      <c r="R13" s="341"/>
      <c r="S13" s="341">
        <v>0.77</v>
      </c>
      <c r="T13" s="338">
        <v>7.1900000000000006E-2</v>
      </c>
      <c r="U13" s="339">
        <v>5.67E-2</v>
      </c>
      <c r="V13" s="337">
        <v>0.3</v>
      </c>
      <c r="W13" s="339">
        <v>1.55E-2</v>
      </c>
      <c r="X13" s="341">
        <v>0</v>
      </c>
      <c r="Y13" s="341">
        <v>1</v>
      </c>
      <c r="Z13" s="340">
        <v>45</v>
      </c>
      <c r="AA13" s="342">
        <f t="shared" si="0"/>
        <v>56.25</v>
      </c>
      <c r="AB13" s="242" t="s">
        <v>383</v>
      </c>
    </row>
    <row r="14" spans="1:28" x14ac:dyDescent="0.25">
      <c r="A14">
        <v>1</v>
      </c>
      <c r="B14" s="290" t="s">
        <v>361</v>
      </c>
      <c r="N14" s="242" t="s">
        <v>483</v>
      </c>
      <c r="O14" s="242" t="s">
        <v>1055</v>
      </c>
      <c r="P14" s="242" t="s">
        <v>1055</v>
      </c>
      <c r="Q14" s="242" t="s">
        <v>517</v>
      </c>
      <c r="R14" s="341"/>
      <c r="S14" s="341">
        <v>0.77</v>
      </c>
      <c r="T14" s="338">
        <v>7.1900000000000006E-2</v>
      </c>
      <c r="U14" s="339">
        <v>5.67E-2</v>
      </c>
      <c r="V14" s="337">
        <v>0.3</v>
      </c>
      <c r="W14" s="339">
        <v>1.55E-2</v>
      </c>
      <c r="X14" s="341">
        <v>0</v>
      </c>
      <c r="Y14" s="341">
        <v>1</v>
      </c>
      <c r="Z14" s="340">
        <v>205</v>
      </c>
      <c r="AA14" s="342">
        <f t="shared" si="0"/>
        <v>256.25</v>
      </c>
      <c r="AB14" s="242" t="s">
        <v>383</v>
      </c>
    </row>
    <row r="15" spans="1:28" x14ac:dyDescent="0.25">
      <c r="A15">
        <v>3</v>
      </c>
      <c r="B15" s="290" t="s">
        <v>362</v>
      </c>
      <c r="N15" s="242" t="s">
        <v>484</v>
      </c>
      <c r="O15" s="242" t="s">
        <v>1055</v>
      </c>
      <c r="P15" s="242" t="s">
        <v>1055</v>
      </c>
      <c r="Q15" s="242" t="s">
        <v>518</v>
      </c>
      <c r="R15" s="341"/>
      <c r="S15" s="341">
        <v>0.77</v>
      </c>
      <c r="T15" s="338">
        <v>7.1900000000000006E-2</v>
      </c>
      <c r="U15" s="339">
        <v>5.67E-2</v>
      </c>
      <c r="V15" s="337">
        <v>0.3</v>
      </c>
      <c r="W15" s="339">
        <v>1.55E-2</v>
      </c>
      <c r="X15" s="341">
        <v>0</v>
      </c>
      <c r="Y15" s="341">
        <v>1</v>
      </c>
      <c r="Z15" s="340">
        <v>205</v>
      </c>
      <c r="AA15" s="342">
        <f t="shared" si="0"/>
        <v>256.25</v>
      </c>
      <c r="AB15" s="242" t="s">
        <v>383</v>
      </c>
    </row>
    <row r="16" spans="1:28" x14ac:dyDescent="0.25">
      <c r="A16">
        <v>4</v>
      </c>
      <c r="B16" s="290" t="s">
        <v>376</v>
      </c>
      <c r="G16" s="326" t="s">
        <v>504</v>
      </c>
      <c r="N16" s="242" t="s">
        <v>485</v>
      </c>
      <c r="O16" s="242" t="s">
        <v>1055</v>
      </c>
      <c r="P16" s="242" t="s">
        <v>1055</v>
      </c>
      <c r="Q16" s="242" t="s">
        <v>519</v>
      </c>
      <c r="R16" s="341"/>
      <c r="S16" s="341">
        <v>0.9</v>
      </c>
      <c r="T16" s="338">
        <v>7.1900000000000006E-2</v>
      </c>
      <c r="U16" s="339">
        <v>5.67E-2</v>
      </c>
      <c r="V16" s="337">
        <v>0.3</v>
      </c>
      <c r="W16" s="339">
        <v>1.55E-2</v>
      </c>
      <c r="X16" s="341">
        <v>0</v>
      </c>
      <c r="Y16" s="341">
        <v>1</v>
      </c>
      <c r="Z16" s="340">
        <v>125</v>
      </c>
      <c r="AA16" s="342">
        <f t="shared" si="0"/>
        <v>156.25</v>
      </c>
      <c r="AB16" s="242" t="s">
        <v>383</v>
      </c>
    </row>
    <row r="17" spans="1:28" x14ac:dyDescent="0.25">
      <c r="A17">
        <v>5</v>
      </c>
      <c r="B17" s="290" t="s">
        <v>377</v>
      </c>
      <c r="N17" s="242" t="s">
        <v>488</v>
      </c>
      <c r="O17" s="242" t="s">
        <v>1055</v>
      </c>
      <c r="P17" s="242" t="s">
        <v>1063</v>
      </c>
      <c r="Q17" s="242" t="s">
        <v>520</v>
      </c>
      <c r="R17" s="341"/>
      <c r="S17" s="341">
        <v>0.72</v>
      </c>
      <c r="T17" s="338">
        <v>7.1900000000000006E-2</v>
      </c>
      <c r="U17" s="339">
        <v>5.67E-2</v>
      </c>
      <c r="V17" s="337">
        <v>0.3</v>
      </c>
      <c r="W17" s="339">
        <v>1.55E-2</v>
      </c>
      <c r="X17" s="341">
        <v>0</v>
      </c>
      <c r="Y17" s="341">
        <v>1</v>
      </c>
      <c r="Z17" s="340">
        <v>35</v>
      </c>
      <c r="AA17" s="342">
        <f t="shared" si="0"/>
        <v>43.75</v>
      </c>
      <c r="AB17" s="242" t="s">
        <v>1064</v>
      </c>
    </row>
    <row r="18" spans="1:28" ht="15.75" thickBot="1" x14ac:dyDescent="0.3">
      <c r="A18">
        <v>6</v>
      </c>
      <c r="B18" s="290" t="s">
        <v>366</v>
      </c>
      <c r="N18" s="242" t="s">
        <v>489</v>
      </c>
      <c r="O18" s="242" t="s">
        <v>1055</v>
      </c>
      <c r="P18" s="242" t="s">
        <v>1063</v>
      </c>
      <c r="Q18" s="242" t="s">
        <v>521</v>
      </c>
      <c r="R18" s="341"/>
      <c r="S18" s="341">
        <v>0.72</v>
      </c>
      <c r="T18" s="338">
        <v>7.1900000000000006E-2</v>
      </c>
      <c r="U18" s="339">
        <v>5.67E-2</v>
      </c>
      <c r="V18" s="337">
        <v>0.3</v>
      </c>
      <c r="W18" s="339">
        <v>1.55E-2</v>
      </c>
      <c r="X18" s="341">
        <v>0</v>
      </c>
      <c r="Y18" s="341">
        <v>1</v>
      </c>
      <c r="Z18" s="340">
        <v>150</v>
      </c>
      <c r="AA18" s="342">
        <f t="shared" si="0"/>
        <v>187.5</v>
      </c>
      <c r="AB18" s="242" t="s">
        <v>1064</v>
      </c>
    </row>
    <row r="19" spans="1:28" ht="15.75" thickBot="1" x14ac:dyDescent="0.3">
      <c r="A19">
        <v>8</v>
      </c>
      <c r="B19" s="290" t="s">
        <v>368</v>
      </c>
      <c r="G19" s="301" t="s">
        <v>1016</v>
      </c>
      <c r="H19" s="302" t="s">
        <v>1017</v>
      </c>
      <c r="I19" s="302" t="s">
        <v>1018</v>
      </c>
      <c r="J19" s="302" t="s">
        <v>1019</v>
      </c>
      <c r="K19" s="303" t="s">
        <v>1020</v>
      </c>
      <c r="N19" s="242" t="s">
        <v>490</v>
      </c>
      <c r="O19" s="242" t="s">
        <v>1055</v>
      </c>
      <c r="P19" s="242" t="s">
        <v>1063</v>
      </c>
      <c r="Q19" s="242" t="s">
        <v>522</v>
      </c>
      <c r="R19" s="341"/>
      <c r="S19" s="341">
        <v>1</v>
      </c>
      <c r="T19" s="338">
        <v>7.1900000000000006E-2</v>
      </c>
      <c r="U19" s="339">
        <v>5.67E-2</v>
      </c>
      <c r="V19" s="337">
        <v>0.3</v>
      </c>
      <c r="W19" s="339">
        <v>1.55E-2</v>
      </c>
      <c r="X19" s="341">
        <v>0</v>
      </c>
      <c r="Y19" s="341">
        <v>1</v>
      </c>
      <c r="Z19" s="340">
        <v>55</v>
      </c>
      <c r="AA19" s="342">
        <f t="shared" si="0"/>
        <v>68.75</v>
      </c>
      <c r="AB19" s="242" t="s">
        <v>1061</v>
      </c>
    </row>
    <row r="20" spans="1:28" x14ac:dyDescent="0.25">
      <c r="A20">
        <v>13</v>
      </c>
      <c r="B20" s="291" t="s">
        <v>374</v>
      </c>
      <c r="G20" s="304" t="s">
        <v>1021</v>
      </c>
      <c r="H20" s="305" t="s">
        <v>849</v>
      </c>
      <c r="I20" s="306" t="s">
        <v>1022</v>
      </c>
      <c r="J20" s="307">
        <v>252.03</v>
      </c>
      <c r="K20" s="308" t="str">
        <f t="shared" ref="K20:K35" si="1">CONCATENATE(G20,H20,I20)</f>
        <v>UnitaryFreezer0-3 hp</v>
      </c>
      <c r="N20" s="242" t="s">
        <v>491</v>
      </c>
      <c r="O20" s="242" t="s">
        <v>1055</v>
      </c>
      <c r="P20" s="242" t="s">
        <v>1063</v>
      </c>
      <c r="Q20" s="242" t="s">
        <v>523</v>
      </c>
      <c r="R20" s="341"/>
      <c r="S20" s="341">
        <v>1</v>
      </c>
      <c r="T20" s="338">
        <v>7.1900000000000006E-2</v>
      </c>
      <c r="U20" s="339">
        <v>5.67E-2</v>
      </c>
      <c r="V20" s="337">
        <v>0.3</v>
      </c>
      <c r="W20" s="339">
        <v>1.55E-2</v>
      </c>
      <c r="X20" s="341">
        <v>0</v>
      </c>
      <c r="Y20" s="341">
        <v>1</v>
      </c>
      <c r="Z20" s="340">
        <v>55</v>
      </c>
      <c r="AA20" s="342">
        <f t="shared" si="0"/>
        <v>68.75</v>
      </c>
      <c r="AB20" s="242" t="s">
        <v>1061</v>
      </c>
    </row>
    <row r="21" spans="1:28" x14ac:dyDescent="0.25">
      <c r="G21" s="309" t="s">
        <v>1021</v>
      </c>
      <c r="H21" s="310" t="s">
        <v>849</v>
      </c>
      <c r="I21" s="311" t="s">
        <v>1023</v>
      </c>
      <c r="J21" s="312">
        <v>241.86</v>
      </c>
      <c r="K21" s="313" t="str">
        <f t="shared" si="1"/>
        <v>UnitaryFreezer&gt;3-6hp</v>
      </c>
      <c r="N21" s="242" t="s">
        <v>492</v>
      </c>
      <c r="O21" s="242" t="s">
        <v>1055</v>
      </c>
      <c r="P21" s="242" t="s">
        <v>1063</v>
      </c>
      <c r="Q21" s="242" t="s">
        <v>524</v>
      </c>
      <c r="R21" s="341"/>
      <c r="S21" s="341">
        <v>1</v>
      </c>
      <c r="T21" s="338">
        <v>7.1900000000000006E-2</v>
      </c>
      <c r="U21" s="339">
        <v>5.67E-2</v>
      </c>
      <c r="V21" s="337">
        <v>0.3</v>
      </c>
      <c r="W21" s="339">
        <v>1.55E-2</v>
      </c>
      <c r="X21" s="341">
        <v>0</v>
      </c>
      <c r="Y21" s="341">
        <v>1</v>
      </c>
      <c r="Z21" s="340">
        <v>5</v>
      </c>
      <c r="AA21" s="342">
        <f t="shared" si="0"/>
        <v>6.25</v>
      </c>
      <c r="AB21" s="242" t="s">
        <v>1065</v>
      </c>
    </row>
    <row r="22" spans="1:28" x14ac:dyDescent="0.25">
      <c r="G22" s="309" t="s">
        <v>1021</v>
      </c>
      <c r="H22" s="310" t="s">
        <v>849</v>
      </c>
      <c r="I22" s="311" t="s">
        <v>1024</v>
      </c>
      <c r="J22" s="312">
        <v>248.68</v>
      </c>
      <c r="K22" s="313" t="str">
        <f t="shared" si="1"/>
        <v>UnitaryFreezer&gt;6-10hp</v>
      </c>
      <c r="N22" s="242" t="s">
        <v>493</v>
      </c>
      <c r="O22" s="242" t="s">
        <v>1055</v>
      </c>
      <c r="P22" s="242" t="s">
        <v>1063</v>
      </c>
      <c r="Q22" s="242" t="s">
        <v>525</v>
      </c>
      <c r="R22" s="341"/>
      <c r="S22" s="341">
        <v>1</v>
      </c>
      <c r="T22" s="338">
        <v>7.1900000000000006E-2</v>
      </c>
      <c r="U22" s="339">
        <v>5.67E-2</v>
      </c>
      <c r="V22" s="337">
        <v>0.3</v>
      </c>
      <c r="W22" s="339">
        <v>1.55E-2</v>
      </c>
      <c r="X22" s="341">
        <v>0</v>
      </c>
      <c r="Y22" s="341">
        <v>1</v>
      </c>
      <c r="Z22" s="340">
        <v>5</v>
      </c>
      <c r="AA22" s="342">
        <f t="shared" si="0"/>
        <v>6.25</v>
      </c>
      <c r="AB22" s="242" t="s">
        <v>1065</v>
      </c>
    </row>
    <row r="23" spans="1:28" x14ac:dyDescent="0.25">
      <c r="G23" s="309" t="s">
        <v>1021</v>
      </c>
      <c r="H23" s="310" t="s">
        <v>849</v>
      </c>
      <c r="I23" s="311" t="s">
        <v>1025</v>
      </c>
      <c r="J23" s="312">
        <v>282.24</v>
      </c>
      <c r="K23" s="313" t="str">
        <f t="shared" si="1"/>
        <v>UnitaryFreezer&gt;10hp</v>
      </c>
      <c r="N23" s="242" t="s">
        <v>494</v>
      </c>
      <c r="O23" s="242" t="s">
        <v>1055</v>
      </c>
      <c r="P23" s="242" t="s">
        <v>1063</v>
      </c>
      <c r="Q23" s="242" t="s">
        <v>526</v>
      </c>
      <c r="R23" s="341"/>
      <c r="S23" s="341">
        <v>0</v>
      </c>
      <c r="T23" s="338">
        <v>7.1900000000000006E-2</v>
      </c>
      <c r="U23" s="339">
        <v>5.67E-2</v>
      </c>
      <c r="V23" s="337">
        <v>0.3</v>
      </c>
      <c r="W23" s="339">
        <v>1.55E-2</v>
      </c>
      <c r="X23" s="341">
        <v>0</v>
      </c>
      <c r="Y23" s="341">
        <v>1</v>
      </c>
      <c r="Z23" s="340">
        <v>10</v>
      </c>
      <c r="AA23" s="342">
        <f t="shared" si="0"/>
        <v>12.5</v>
      </c>
      <c r="AB23" s="242" t="s">
        <v>1061</v>
      </c>
    </row>
    <row r="24" spans="1:28" x14ac:dyDescent="0.25">
      <c r="B24" s="292" t="s">
        <v>720</v>
      </c>
      <c r="G24" s="309" t="s">
        <v>1021</v>
      </c>
      <c r="H24" s="310" t="s">
        <v>914</v>
      </c>
      <c r="I24" s="311" t="s">
        <v>1022</v>
      </c>
      <c r="J24" s="312">
        <v>131.44999999999999</v>
      </c>
      <c r="K24" s="313" t="str">
        <f t="shared" si="1"/>
        <v>UnitaryRefrigerator0-3 hp</v>
      </c>
      <c r="N24" s="242" t="s">
        <v>495</v>
      </c>
      <c r="O24" s="242" t="s">
        <v>1055</v>
      </c>
      <c r="P24" s="242" t="s">
        <v>1063</v>
      </c>
      <c r="Q24" s="242" t="s">
        <v>527</v>
      </c>
      <c r="R24" s="341"/>
      <c r="S24" s="341">
        <v>0</v>
      </c>
      <c r="T24" s="338">
        <v>7.1900000000000006E-2</v>
      </c>
      <c r="U24" s="339">
        <v>5.67E-2</v>
      </c>
      <c r="V24" s="337">
        <v>0.3</v>
      </c>
      <c r="W24" s="339">
        <v>1.55E-2</v>
      </c>
      <c r="X24" s="341">
        <v>0</v>
      </c>
      <c r="Y24" s="341">
        <v>1</v>
      </c>
      <c r="Z24" s="340">
        <v>10</v>
      </c>
      <c r="AA24" s="342">
        <f t="shared" si="0"/>
        <v>12.5</v>
      </c>
      <c r="AB24" s="242" t="s">
        <v>1061</v>
      </c>
    </row>
    <row r="25" spans="1:28" x14ac:dyDescent="0.25">
      <c r="B25" s="288" t="s">
        <v>766</v>
      </c>
      <c r="G25" s="309" t="s">
        <v>1021</v>
      </c>
      <c r="H25" s="310" t="s">
        <v>914</v>
      </c>
      <c r="I25" s="311" t="s">
        <v>1023</v>
      </c>
      <c r="J25" s="312">
        <v>127.32</v>
      </c>
      <c r="K25" s="313" t="str">
        <f t="shared" si="1"/>
        <v>UnitaryRefrigerator&gt;3-6hp</v>
      </c>
      <c r="N25" s="242" t="s">
        <v>496</v>
      </c>
      <c r="O25" s="242" t="s">
        <v>1055</v>
      </c>
      <c r="P25" s="242" t="s">
        <v>1063</v>
      </c>
      <c r="Q25" s="242" t="s">
        <v>528</v>
      </c>
      <c r="R25" s="341"/>
      <c r="S25" s="341">
        <v>0.72</v>
      </c>
      <c r="T25" s="338">
        <v>7.1900000000000006E-2</v>
      </c>
      <c r="U25" s="339">
        <v>5.67E-2</v>
      </c>
      <c r="V25" s="337">
        <v>0.3</v>
      </c>
      <c r="W25" s="339">
        <v>1.55E-2</v>
      </c>
      <c r="X25" s="341">
        <v>0</v>
      </c>
      <c r="Y25" s="341">
        <v>1</v>
      </c>
      <c r="Z25" s="340">
        <v>65</v>
      </c>
      <c r="AA25" s="342">
        <f t="shared" si="0"/>
        <v>81.25</v>
      </c>
      <c r="AB25" s="242" t="s">
        <v>512</v>
      </c>
    </row>
    <row r="26" spans="1:28" x14ac:dyDescent="0.25">
      <c r="B26" s="288" t="s">
        <v>721</v>
      </c>
      <c r="G26" s="309" t="s">
        <v>1021</v>
      </c>
      <c r="H26" s="310" t="s">
        <v>914</v>
      </c>
      <c r="I26" s="311" t="s">
        <v>1024</v>
      </c>
      <c r="J26" s="312">
        <v>128.1</v>
      </c>
      <c r="K26" s="313" t="str">
        <f t="shared" si="1"/>
        <v>UnitaryRefrigerator&gt;6-10hp</v>
      </c>
      <c r="N26" s="242" t="s">
        <v>497</v>
      </c>
      <c r="O26" s="242" t="s">
        <v>1055</v>
      </c>
      <c r="P26" s="242" t="s">
        <v>1063</v>
      </c>
      <c r="Q26" s="242" t="s">
        <v>529</v>
      </c>
      <c r="R26" s="341"/>
      <c r="S26" s="341">
        <v>0.72</v>
      </c>
      <c r="T26" s="338">
        <v>7.1900000000000006E-2</v>
      </c>
      <c r="U26" s="339">
        <v>5.67E-2</v>
      </c>
      <c r="V26" s="337">
        <v>0.3</v>
      </c>
      <c r="W26" s="339">
        <v>1.55E-2</v>
      </c>
      <c r="X26" s="341">
        <v>0</v>
      </c>
      <c r="Y26" s="341">
        <v>1</v>
      </c>
      <c r="Z26" s="340">
        <v>65</v>
      </c>
      <c r="AA26" s="342">
        <f t="shared" si="0"/>
        <v>81.25</v>
      </c>
      <c r="AB26" s="242" t="s">
        <v>512</v>
      </c>
    </row>
    <row r="27" spans="1:28" x14ac:dyDescent="0.25">
      <c r="B27" s="288" t="s">
        <v>722</v>
      </c>
      <c r="G27" s="309" t="s">
        <v>1021</v>
      </c>
      <c r="H27" s="310" t="s">
        <v>914</v>
      </c>
      <c r="I27" s="311" t="s">
        <v>1025</v>
      </c>
      <c r="J27" s="312">
        <v>132.58000000000001</v>
      </c>
      <c r="K27" s="313" t="str">
        <f t="shared" si="1"/>
        <v>UnitaryRefrigerator&gt;10hp</v>
      </c>
      <c r="N27" s="242" t="s">
        <v>732</v>
      </c>
      <c r="O27" s="242" t="s">
        <v>1055</v>
      </c>
      <c r="P27" s="242" t="s">
        <v>1055</v>
      </c>
      <c r="Q27" s="242" t="s">
        <v>1066</v>
      </c>
      <c r="R27" s="341"/>
      <c r="S27" s="341">
        <v>1</v>
      </c>
      <c r="T27" s="338">
        <v>7.1900000000000006E-2</v>
      </c>
      <c r="U27" s="339">
        <v>5.67E-2</v>
      </c>
      <c r="V27" s="337">
        <v>0.3</v>
      </c>
      <c r="W27" s="339">
        <v>1.55E-2</v>
      </c>
      <c r="X27" s="341">
        <v>0</v>
      </c>
      <c r="Y27" s="341">
        <v>1</v>
      </c>
      <c r="Z27" s="340">
        <v>4</v>
      </c>
      <c r="AA27" s="342">
        <f t="shared" si="0"/>
        <v>5</v>
      </c>
      <c r="AB27" s="242" t="s">
        <v>1061</v>
      </c>
    </row>
    <row r="28" spans="1:28" x14ac:dyDescent="0.25">
      <c r="B28" s="288" t="s">
        <v>723</v>
      </c>
      <c r="G28" s="309" t="s">
        <v>1026</v>
      </c>
      <c r="H28" s="310" t="s">
        <v>849</v>
      </c>
      <c r="I28" s="311" t="s">
        <v>1022</v>
      </c>
      <c r="J28" s="312">
        <v>505.37</v>
      </c>
      <c r="K28" s="313" t="str">
        <f t="shared" si="1"/>
        <v>RemoteFreezer0-3 hp</v>
      </c>
      <c r="N28" s="242" t="s">
        <v>733</v>
      </c>
      <c r="O28" s="242" t="s">
        <v>1055</v>
      </c>
      <c r="P28" s="242" t="s">
        <v>1055</v>
      </c>
      <c r="Q28" s="242" t="s">
        <v>1067</v>
      </c>
      <c r="R28" s="341"/>
      <c r="S28" s="341">
        <v>1</v>
      </c>
      <c r="T28" s="338">
        <v>7.1900000000000006E-2</v>
      </c>
      <c r="U28" s="339">
        <v>5.67E-2</v>
      </c>
      <c r="V28" s="337">
        <v>0.3</v>
      </c>
      <c r="W28" s="339">
        <v>1.55E-2</v>
      </c>
      <c r="X28" s="341">
        <v>0</v>
      </c>
      <c r="Y28" s="341">
        <v>1</v>
      </c>
      <c r="Z28" s="340">
        <v>5</v>
      </c>
      <c r="AA28" s="342">
        <f t="shared" si="0"/>
        <v>6.25</v>
      </c>
      <c r="AB28" s="242" t="s">
        <v>1061</v>
      </c>
    </row>
    <row r="29" spans="1:28" x14ac:dyDescent="0.25">
      <c r="B29" s="288" t="s">
        <v>724</v>
      </c>
      <c r="G29" s="309" t="s">
        <v>1026</v>
      </c>
      <c r="H29" s="310" t="s">
        <v>849</v>
      </c>
      <c r="I29" s="311" t="s">
        <v>1023</v>
      </c>
      <c r="J29" s="312">
        <v>481.06</v>
      </c>
      <c r="K29" s="313" t="str">
        <f t="shared" si="1"/>
        <v>RemoteFreezer&gt;3-6hp</v>
      </c>
    </row>
    <row r="30" spans="1:28" x14ac:dyDescent="0.25">
      <c r="G30" s="309" t="s">
        <v>1026</v>
      </c>
      <c r="H30" s="310" t="s">
        <v>849</v>
      </c>
      <c r="I30" s="311" t="s">
        <v>1024</v>
      </c>
      <c r="J30" s="312">
        <v>484.96</v>
      </c>
      <c r="K30" s="313" t="str">
        <f t="shared" si="1"/>
        <v>RemoteFreezer&gt;6-10hp</v>
      </c>
    </row>
    <row r="31" spans="1:28" x14ac:dyDescent="0.25">
      <c r="B31" s="293" t="s">
        <v>410</v>
      </c>
      <c r="G31" s="309" t="s">
        <v>1026</v>
      </c>
      <c r="H31" s="310" t="s">
        <v>849</v>
      </c>
      <c r="I31" s="311" t="s">
        <v>1025</v>
      </c>
      <c r="J31" s="312">
        <v>503.32</v>
      </c>
      <c r="K31" s="313" t="str">
        <f t="shared" si="1"/>
        <v>RemoteFreezer&gt;10hp</v>
      </c>
    </row>
    <row r="32" spans="1:28" x14ac:dyDescent="0.25">
      <c r="B32" s="289" t="s">
        <v>766</v>
      </c>
      <c r="G32" s="309" t="s">
        <v>1026</v>
      </c>
      <c r="H32" s="310" t="s">
        <v>914</v>
      </c>
      <c r="I32" s="311" t="s">
        <v>1022</v>
      </c>
      <c r="J32" s="312">
        <v>393.38</v>
      </c>
      <c r="K32" s="313" t="str">
        <f t="shared" si="1"/>
        <v>RemoteRefrigerator0-3 hp</v>
      </c>
    </row>
    <row r="33" spans="2:11" x14ac:dyDescent="0.25">
      <c r="B33" s="289" t="s">
        <v>411</v>
      </c>
      <c r="G33" s="309" t="s">
        <v>1026</v>
      </c>
      <c r="H33" s="310" t="s">
        <v>914</v>
      </c>
      <c r="I33" s="311" t="s">
        <v>1023</v>
      </c>
      <c r="J33" s="312">
        <v>387.53</v>
      </c>
      <c r="K33" s="313" t="str">
        <f t="shared" si="1"/>
        <v>RemoteRefrigerator&gt;3-6hp</v>
      </c>
    </row>
    <row r="34" spans="2:11" x14ac:dyDescent="0.25">
      <c r="B34" s="289" t="s">
        <v>412</v>
      </c>
      <c r="G34" s="309" t="s">
        <v>1026</v>
      </c>
      <c r="H34" s="310" t="s">
        <v>914</v>
      </c>
      <c r="I34" s="311" t="s">
        <v>1024</v>
      </c>
      <c r="J34" s="312">
        <v>396.89</v>
      </c>
      <c r="K34" s="313" t="str">
        <f t="shared" si="1"/>
        <v>RemoteRefrigerator&gt;6-10hp</v>
      </c>
    </row>
    <row r="35" spans="2:11" ht="15.75" thickBot="1" x14ac:dyDescent="0.3">
      <c r="G35" s="314" t="s">
        <v>1026</v>
      </c>
      <c r="H35" s="315" t="s">
        <v>914</v>
      </c>
      <c r="I35" s="316" t="s">
        <v>1025</v>
      </c>
      <c r="J35" s="317">
        <v>404.66</v>
      </c>
      <c r="K35" s="318" t="str">
        <f t="shared" si="1"/>
        <v>RemoteRefrigerator&gt;10hp</v>
      </c>
    </row>
    <row r="36" spans="2:11" x14ac:dyDescent="0.25">
      <c r="B36" s="293" t="s">
        <v>1028</v>
      </c>
    </row>
    <row r="37" spans="2:11" x14ac:dyDescent="0.25">
      <c r="B37" s="289" t="s">
        <v>766</v>
      </c>
    </row>
    <row r="38" spans="2:11" x14ac:dyDescent="0.25">
      <c r="B38" s="289" t="s">
        <v>1029</v>
      </c>
    </row>
    <row r="39" spans="2:11" x14ac:dyDescent="0.25">
      <c r="B39" s="289" t="s">
        <v>1030</v>
      </c>
    </row>
    <row r="41" spans="2:11" x14ac:dyDescent="0.25">
      <c r="B41" s="319" t="s">
        <v>883</v>
      </c>
      <c r="G41" s="326" t="s">
        <v>101</v>
      </c>
    </row>
    <row r="42" spans="2:11" x14ac:dyDescent="0.25">
      <c r="B42" s="4" t="s">
        <v>766</v>
      </c>
    </row>
    <row r="43" spans="2:11" x14ac:dyDescent="0.25">
      <c r="B43" s="4" t="s">
        <v>884</v>
      </c>
    </row>
    <row r="44" spans="2:11" x14ac:dyDescent="0.25">
      <c r="B44" s="4" t="s">
        <v>885</v>
      </c>
      <c r="G44" s="295" t="s">
        <v>823</v>
      </c>
      <c r="H44" s="295" t="s">
        <v>1003</v>
      </c>
      <c r="I44" s="296" t="s">
        <v>39</v>
      </c>
    </row>
    <row r="45" spans="2:11" x14ac:dyDescent="0.25">
      <c r="G45" s="325" t="s">
        <v>1004</v>
      </c>
      <c r="H45" s="297">
        <f>5890%/100</f>
        <v>0.58899999999999997</v>
      </c>
      <c r="I45" s="298">
        <v>0.25</v>
      </c>
    </row>
    <row r="46" spans="2:11" x14ac:dyDescent="0.25">
      <c r="G46" s="26" t="s">
        <v>1005</v>
      </c>
      <c r="H46" s="297">
        <f>4280%/100</f>
        <v>0.42799999999999999</v>
      </c>
      <c r="I46" s="298">
        <v>0.36</v>
      </c>
    </row>
    <row r="47" spans="2:11" x14ac:dyDescent="0.25">
      <c r="G47" s="325" t="s">
        <v>1006</v>
      </c>
      <c r="H47" s="297">
        <f>5890%/100</f>
        <v>0.58899999999999997</v>
      </c>
      <c r="I47" s="298">
        <v>0.21</v>
      </c>
    </row>
    <row r="48" spans="2:11" x14ac:dyDescent="0.25">
      <c r="G48" s="26" t="s">
        <v>1007</v>
      </c>
      <c r="H48" s="297">
        <f>4280%/100</f>
        <v>0.42799999999999999</v>
      </c>
      <c r="I48" s="298">
        <v>0.3</v>
      </c>
    </row>
    <row r="50" spans="7:25" x14ac:dyDescent="0.25">
      <c r="L50" s="13"/>
    </row>
    <row r="51" spans="7:25" x14ac:dyDescent="0.25">
      <c r="L51" s="10"/>
    </row>
    <row r="52" spans="7:25" x14ac:dyDescent="0.25">
      <c r="G52" s="326" t="s">
        <v>822</v>
      </c>
      <c r="M52" s="14"/>
      <c r="N52" s="14"/>
    </row>
    <row r="53" spans="7:25" x14ac:dyDescent="0.25">
      <c r="M53" s="1"/>
    </row>
    <row r="54" spans="7:25" ht="30.75" thickBot="1" x14ac:dyDescent="0.3">
      <c r="M54" s="1"/>
      <c r="N54" s="239" t="s">
        <v>824</v>
      </c>
      <c r="O54" s="239" t="s">
        <v>825</v>
      </c>
      <c r="P54" s="239" t="s">
        <v>826</v>
      </c>
      <c r="Q54" s="239" t="s">
        <v>827</v>
      </c>
    </row>
    <row r="55" spans="7:25" x14ac:dyDescent="0.25">
      <c r="G55" s="349" t="s">
        <v>1013</v>
      </c>
      <c r="H55" s="350"/>
      <c r="I55" s="350"/>
      <c r="J55" s="350"/>
      <c r="K55" s="350"/>
      <c r="L55" s="350"/>
      <c r="M55" s="1"/>
      <c r="N55" s="257" t="s">
        <v>828</v>
      </c>
      <c r="O55" s="258">
        <v>4000</v>
      </c>
      <c r="P55" s="258">
        <v>4.6100000000000003</v>
      </c>
      <c r="Q55" s="259">
        <v>4.24</v>
      </c>
      <c r="R55" s="11"/>
      <c r="S55" s="11"/>
      <c r="T55" s="11"/>
      <c r="X55" s="11"/>
      <c r="Y55" s="11"/>
    </row>
    <row r="56" spans="7:25" ht="30" x14ac:dyDescent="0.25">
      <c r="G56" s="300" t="s">
        <v>828</v>
      </c>
      <c r="H56" s="300" t="s">
        <v>829</v>
      </c>
      <c r="I56" s="300" t="s">
        <v>830</v>
      </c>
      <c r="J56" s="300" t="s">
        <v>831</v>
      </c>
      <c r="K56" s="300" t="s">
        <v>832</v>
      </c>
      <c r="L56" s="300" t="s">
        <v>833</v>
      </c>
      <c r="M56" s="1"/>
      <c r="N56" s="260" t="s">
        <v>828</v>
      </c>
      <c r="O56" s="237">
        <v>1500</v>
      </c>
      <c r="P56" s="237">
        <f>5.55 - 0.00063*Q108</f>
        <v>5.55</v>
      </c>
      <c r="Q56" s="261">
        <f>5.11 - 0.00058*Q108</f>
        <v>5.1100000000000003</v>
      </c>
      <c r="R56" s="11"/>
      <c r="S56" s="11"/>
      <c r="T56" s="11"/>
      <c r="X56" s="11"/>
      <c r="Y56" s="11"/>
    </row>
    <row r="57" spans="7:25" x14ac:dyDescent="0.25">
      <c r="G57" s="242"/>
      <c r="H57" s="242"/>
      <c r="I57" s="242"/>
      <c r="J57" s="242"/>
      <c r="K57" s="242"/>
      <c r="L57" s="242"/>
      <c r="N57" s="260" t="s">
        <v>828</v>
      </c>
      <c r="O57" s="237">
        <v>800</v>
      </c>
      <c r="P57" s="237">
        <f>7.05 - 0.0025*Q108</f>
        <v>7.05</v>
      </c>
      <c r="Q57" s="261">
        <f>6.49 - 0.0023*Q108</f>
        <v>6.49</v>
      </c>
      <c r="R57" s="11"/>
      <c r="S57" s="11"/>
      <c r="T57" s="11"/>
      <c r="X57" s="11"/>
      <c r="Y57" s="11"/>
    </row>
    <row r="58" spans="7:25" ht="15.75" thickBot="1" x14ac:dyDescent="0.3">
      <c r="G58" s="300">
        <v>300</v>
      </c>
      <c r="H58" s="300">
        <v>988</v>
      </c>
      <c r="I58" s="300">
        <v>110</v>
      </c>
      <c r="J58" s="300">
        <v>310</v>
      </c>
      <c r="K58" s="300">
        <v>800</v>
      </c>
      <c r="L58" s="300">
        <v>200</v>
      </c>
      <c r="N58" s="262" t="s">
        <v>828</v>
      </c>
      <c r="O58" s="263">
        <v>300</v>
      </c>
      <c r="P58" s="263">
        <f>10 - 0.01233*Q108</f>
        <v>10</v>
      </c>
      <c r="Q58" s="264">
        <f>9.2 - 0.01134*Q108</f>
        <v>9.1999999999999993</v>
      </c>
      <c r="R58" s="11"/>
      <c r="S58" s="11"/>
      <c r="T58" s="11"/>
      <c r="X58" s="11"/>
      <c r="Y58" s="11"/>
    </row>
    <row r="59" spans="7:25" x14ac:dyDescent="0.25">
      <c r="G59" s="300">
        <v>800</v>
      </c>
      <c r="H59" s="300">
        <v>4000</v>
      </c>
      <c r="I59" s="300">
        <v>200</v>
      </c>
      <c r="J59" s="300">
        <v>820</v>
      </c>
      <c r="K59" s="300">
        <v>4000</v>
      </c>
      <c r="L59" s="300">
        <v>700</v>
      </c>
      <c r="N59" s="257" t="s">
        <v>829</v>
      </c>
      <c r="O59" s="258">
        <v>4000</v>
      </c>
      <c r="P59" s="258">
        <v>4.59</v>
      </c>
      <c r="Q59" s="259">
        <v>4.13</v>
      </c>
      <c r="R59" s="11"/>
      <c r="S59" s="11"/>
      <c r="T59" s="11"/>
      <c r="X59" s="11"/>
      <c r="Y59" s="11"/>
    </row>
    <row r="60" spans="7:25" ht="15.75" thickBot="1" x14ac:dyDescent="0.3">
      <c r="G60" s="300">
        <v>1500</v>
      </c>
      <c r="H60" s="242"/>
      <c r="I60" s="300">
        <v>4000</v>
      </c>
      <c r="J60" s="300">
        <v>4000</v>
      </c>
      <c r="K60" s="242"/>
      <c r="L60" s="300">
        <v>4000</v>
      </c>
      <c r="N60" s="262" t="s">
        <v>829</v>
      </c>
      <c r="O60" s="263">
        <v>988</v>
      </c>
      <c r="P60" s="263">
        <f>7.97 - 0.00342*Q108</f>
        <v>7.97</v>
      </c>
      <c r="Q60" s="264">
        <f>7.17 - 0.00308*Q108</f>
        <v>7.17</v>
      </c>
      <c r="R60" s="11"/>
      <c r="S60" s="11"/>
      <c r="T60" s="11"/>
      <c r="X60" s="11"/>
      <c r="Y60" s="11"/>
    </row>
    <row r="61" spans="7:25" x14ac:dyDescent="0.25">
      <c r="G61" s="300">
        <v>4000</v>
      </c>
      <c r="H61" s="242"/>
      <c r="I61" s="242"/>
      <c r="J61" s="242"/>
      <c r="K61" s="242"/>
      <c r="L61" s="242"/>
      <c r="N61" s="257" t="s">
        <v>830</v>
      </c>
      <c r="O61" s="258">
        <v>4000</v>
      </c>
      <c r="P61" s="258">
        <v>7.35</v>
      </c>
      <c r="Q61" s="259">
        <v>6.25</v>
      </c>
      <c r="R61" s="11"/>
      <c r="S61" s="11"/>
      <c r="T61" s="11"/>
      <c r="X61" s="11"/>
      <c r="Y61" s="11"/>
    </row>
    <row r="62" spans="7:25" x14ac:dyDescent="0.25">
      <c r="N62" s="260" t="s">
        <v>830</v>
      </c>
      <c r="O62" s="237">
        <v>200</v>
      </c>
      <c r="P62" s="237">
        <f>12.42 - 0.02533*Q108</f>
        <v>12.42</v>
      </c>
      <c r="Q62" s="261">
        <f>10.56 - 0.0215*Q108</f>
        <v>10.56</v>
      </c>
      <c r="R62" s="11"/>
      <c r="S62" s="11"/>
      <c r="T62" s="11"/>
      <c r="X62" s="11"/>
      <c r="Y62" s="11"/>
    </row>
    <row r="63" spans="7:25" ht="15.75" thickBot="1" x14ac:dyDescent="0.3">
      <c r="N63" s="262" t="s">
        <v>830</v>
      </c>
      <c r="O63" s="263">
        <v>110</v>
      </c>
      <c r="P63" s="263">
        <f>14.79 - 0.0469*Q108</f>
        <v>14.79</v>
      </c>
      <c r="Q63" s="264">
        <f>12.57 - 0.0399*Q108</f>
        <v>12.57</v>
      </c>
      <c r="R63" s="11"/>
      <c r="S63" s="11"/>
      <c r="T63" s="11"/>
      <c r="X63" s="11"/>
      <c r="Y63" s="11"/>
    </row>
    <row r="64" spans="7:25" x14ac:dyDescent="0.25">
      <c r="N64" s="257" t="s">
        <v>831</v>
      </c>
      <c r="O64" s="258">
        <v>4000</v>
      </c>
      <c r="P64" s="258">
        <v>5.61</v>
      </c>
      <c r="Q64" s="259">
        <v>4.82</v>
      </c>
      <c r="R64" s="11"/>
      <c r="S64" s="11"/>
      <c r="T64" s="11"/>
      <c r="X64" s="11"/>
      <c r="Y64" s="11"/>
    </row>
    <row r="65" spans="7:25" x14ac:dyDescent="0.25">
      <c r="L65" s="1"/>
      <c r="M65" s="1"/>
      <c r="N65" s="260" t="s">
        <v>831</v>
      </c>
      <c r="O65" s="237">
        <v>820</v>
      </c>
      <c r="P65" s="237">
        <f>8.23 - 0.0032*Q108</f>
        <v>8.23</v>
      </c>
      <c r="Q65" s="261">
        <f>7.08 - 0.002752*Q108</f>
        <v>7.08</v>
      </c>
      <c r="R65" s="11"/>
      <c r="S65" s="11"/>
      <c r="T65" s="11"/>
      <c r="X65" s="11"/>
      <c r="Y65" s="11"/>
    </row>
    <row r="66" spans="7:25" ht="15.75" thickBot="1" x14ac:dyDescent="0.3">
      <c r="N66" s="262" t="s">
        <v>831</v>
      </c>
      <c r="O66" s="263">
        <v>310</v>
      </c>
      <c r="P66" s="263">
        <f>9.19 - 0.00629*Q108</f>
        <v>9.19</v>
      </c>
      <c r="Q66" s="264">
        <f>7.9 - 0.005409*Q108</f>
        <v>7.9</v>
      </c>
    </row>
    <row r="67" spans="7:25" x14ac:dyDescent="0.25">
      <c r="G67" s="326" t="s">
        <v>1039</v>
      </c>
      <c r="N67" s="257" t="s">
        <v>832</v>
      </c>
      <c r="O67" s="258">
        <v>4000</v>
      </c>
      <c r="P67" s="258">
        <v>5.0599999999999996</v>
      </c>
      <c r="Q67" s="259">
        <v>4.05</v>
      </c>
    </row>
    <row r="68" spans="7:25" ht="15.75" thickBot="1" x14ac:dyDescent="0.3">
      <c r="N68" s="262" t="s">
        <v>832</v>
      </c>
      <c r="O68" s="263">
        <v>800</v>
      </c>
      <c r="P68" s="263">
        <f>9.7 - 0.0058*Q108</f>
        <v>9.6999999999999993</v>
      </c>
      <c r="Q68" s="264">
        <f>7.76 - 0.00464*Q108</f>
        <v>7.76</v>
      </c>
    </row>
    <row r="69" spans="7:25" x14ac:dyDescent="0.25">
      <c r="N69" s="257" t="s">
        <v>833</v>
      </c>
      <c r="O69" s="258">
        <v>4000</v>
      </c>
      <c r="P69" s="258">
        <v>5.0999999999999996</v>
      </c>
      <c r="Q69" s="259">
        <v>4.4400000000000004</v>
      </c>
    </row>
    <row r="70" spans="7:25" ht="28.5" x14ac:dyDescent="0.25">
      <c r="G70" s="329" t="s">
        <v>533</v>
      </c>
      <c r="H70" s="330"/>
      <c r="I70" s="330"/>
      <c r="J70" s="330"/>
      <c r="K70" s="330"/>
      <c r="N70" s="260" t="s">
        <v>833</v>
      </c>
      <c r="O70" s="237">
        <v>700</v>
      </c>
      <c r="P70" s="237">
        <f>9.47 - 0.00624*Q108</f>
        <v>9.4700000000000006</v>
      </c>
      <c r="Q70" s="261">
        <f>8.24 - 0.005429*Q108</f>
        <v>8.24</v>
      </c>
    </row>
    <row r="71" spans="7:25" ht="15.75" thickBot="1" x14ac:dyDescent="0.3">
      <c r="G71" s="42"/>
      <c r="H71" s="43"/>
      <c r="I71" s="43"/>
      <c r="J71" s="43"/>
      <c r="K71" s="43"/>
      <c r="N71" s="262" t="s">
        <v>833</v>
      </c>
      <c r="O71" s="263">
        <v>200</v>
      </c>
      <c r="P71" s="263">
        <f>14.22 - 0.03*Q108</f>
        <v>14.22</v>
      </c>
      <c r="Q71" s="264">
        <f>12.37 - 0.0261*Q108</f>
        <v>12.37</v>
      </c>
    </row>
    <row r="72" spans="7:25" x14ac:dyDescent="0.25">
      <c r="G72" s="51" t="s">
        <v>556</v>
      </c>
      <c r="H72" s="39" t="s">
        <v>469</v>
      </c>
      <c r="I72" s="39" t="s">
        <v>537</v>
      </c>
      <c r="J72" s="39" t="s">
        <v>383</v>
      </c>
      <c r="K72" s="39" t="s">
        <v>18</v>
      </c>
    </row>
    <row r="73" spans="7:25" x14ac:dyDescent="0.25">
      <c r="G73" s="256">
        <v>1</v>
      </c>
      <c r="H73" s="246" t="s">
        <v>945</v>
      </c>
      <c r="I73" s="40" t="s">
        <v>900</v>
      </c>
      <c r="J73" s="41" t="s">
        <v>506</v>
      </c>
      <c r="K73" s="328">
        <v>50</v>
      </c>
    </row>
    <row r="74" spans="7:25" x14ac:dyDescent="0.25">
      <c r="G74" s="256">
        <f>G73+1</f>
        <v>2</v>
      </c>
      <c r="H74" s="255" t="s">
        <v>950</v>
      </c>
      <c r="I74" s="40" t="s">
        <v>900</v>
      </c>
      <c r="J74" s="41" t="s">
        <v>506</v>
      </c>
      <c r="K74" s="328">
        <v>50</v>
      </c>
    </row>
    <row r="75" spans="7:25" x14ac:dyDescent="0.25">
      <c r="G75" s="256">
        <f t="shared" ref="G75" si="2">G74+1</f>
        <v>3</v>
      </c>
      <c r="H75" s="246" t="s">
        <v>360</v>
      </c>
      <c r="I75" s="40" t="s">
        <v>900</v>
      </c>
      <c r="J75" s="41" t="s">
        <v>509</v>
      </c>
      <c r="K75" s="328">
        <v>500</v>
      </c>
    </row>
    <row r="76" spans="7:25" x14ac:dyDescent="0.25">
      <c r="G76" s="256">
        <f>G75+1</f>
        <v>4</v>
      </c>
      <c r="H76" s="250" t="s">
        <v>901</v>
      </c>
      <c r="I76" s="40" t="s">
        <v>900</v>
      </c>
      <c r="J76" s="41" t="s">
        <v>507</v>
      </c>
      <c r="K76" s="328">
        <f>Worksheet!D20</f>
        <v>100</v>
      </c>
    </row>
    <row r="77" spans="7:25" x14ac:dyDescent="0.25">
      <c r="G77" s="256">
        <f>G76+1</f>
        <v>5</v>
      </c>
      <c r="H77" s="250" t="s">
        <v>372</v>
      </c>
      <c r="I77" s="40" t="s">
        <v>900</v>
      </c>
      <c r="J77" s="41" t="s">
        <v>507</v>
      </c>
      <c r="K77" s="328">
        <f>Worksheet!D22</f>
        <v>60</v>
      </c>
    </row>
    <row r="78" spans="7:25" x14ac:dyDescent="0.25">
      <c r="G78" s="256">
        <f>G77+1</f>
        <v>6</v>
      </c>
      <c r="H78" s="250" t="s">
        <v>373</v>
      </c>
      <c r="I78" s="40" t="s">
        <v>908</v>
      </c>
      <c r="J78" s="41" t="s">
        <v>509</v>
      </c>
      <c r="K78" s="328">
        <f>Worksheet!D25</f>
        <v>500</v>
      </c>
      <c r="M78" s="327"/>
      <c r="P78" s="11"/>
    </row>
    <row r="79" spans="7:25" x14ac:dyDescent="0.25">
      <c r="G79" s="256">
        <f>G78+1</f>
        <v>7</v>
      </c>
      <c r="H79" s="247" t="s">
        <v>519</v>
      </c>
      <c r="I79" s="40" t="s">
        <v>900</v>
      </c>
      <c r="J79" s="41" t="s">
        <v>507</v>
      </c>
      <c r="K79" s="328">
        <f>Worksheet!D32</f>
        <v>125</v>
      </c>
      <c r="M79" s="327"/>
      <c r="P79" s="11"/>
    </row>
    <row r="80" spans="7:25" x14ac:dyDescent="0.25">
      <c r="G80" s="2"/>
      <c r="H80" s="2"/>
      <c r="I80" s="2"/>
      <c r="J80" s="2"/>
      <c r="K80" s="2"/>
      <c r="M80" s="327"/>
      <c r="P80" s="11"/>
    </row>
    <row r="81" spans="5:58" x14ac:dyDescent="0.25">
      <c r="G81" s="2"/>
      <c r="H81" s="2"/>
      <c r="I81" s="2"/>
      <c r="J81" s="2"/>
      <c r="K81" s="2"/>
      <c r="M81" s="327"/>
    </row>
    <row r="82" spans="5:58" x14ac:dyDescent="0.25">
      <c r="G82" s="2"/>
      <c r="H82" s="2"/>
      <c r="I82" s="2"/>
      <c r="J82" s="2"/>
      <c r="K82" s="2"/>
      <c r="M82" s="327"/>
    </row>
    <row r="83" spans="5:58" x14ac:dyDescent="0.25">
      <c r="G83" s="2"/>
      <c r="H83" s="2"/>
    </row>
    <row r="84" spans="5:58" x14ac:dyDescent="0.25">
      <c r="G84" s="2"/>
      <c r="I84" s="331" t="s">
        <v>621</v>
      </c>
      <c r="J84" s="331" t="s">
        <v>625</v>
      </c>
      <c r="K84" s="2"/>
    </row>
    <row r="85" spans="5:58" x14ac:dyDescent="0.25">
      <c r="G85" s="2"/>
      <c r="I85" s="4" t="s">
        <v>622</v>
      </c>
      <c r="J85" s="4">
        <f>Worksheet!F15</f>
        <v>0</v>
      </c>
      <c r="K85" s="2"/>
    </row>
    <row r="86" spans="5:58" x14ac:dyDescent="0.25">
      <c r="G86" s="2"/>
      <c r="H86" s="333" t="b">
        <f>IF(ISNUMBER(Worksheet!F17),IF(Worksheet!F17&gt;0.999,TRUE,FALSE),FALSE)</f>
        <v>0</v>
      </c>
      <c r="I86" s="4" t="s">
        <v>623</v>
      </c>
      <c r="J86" s="332" t="e">
        <f>MATCH(J85,I85:I87,0)</f>
        <v>#N/A</v>
      </c>
      <c r="K86" s="2"/>
    </row>
    <row r="87" spans="5:58" ht="28.5" customHeight="1" x14ac:dyDescent="0.25">
      <c r="G87" s="2"/>
      <c r="H87" s="333" t="b">
        <f>IF(Worksheet!H17&gt;0.999,TRUE,FALSE)</f>
        <v>0</v>
      </c>
      <c r="I87" s="4" t="s">
        <v>624</v>
      </c>
      <c r="J87" s="331" t="s">
        <v>641</v>
      </c>
      <c r="K87" s="2"/>
    </row>
    <row r="88" spans="5:58" s="38" customFormat="1" x14ac:dyDescent="0.25">
      <c r="E88" s="323"/>
      <c r="G88" s="2"/>
      <c r="H88"/>
      <c r="I88" s="4"/>
      <c r="J88" s="4" t="e">
        <f>IF(J86=3,FALSE,IF(J86=2,H86,H87))</f>
        <v>#N/A</v>
      </c>
      <c r="K88" s="2"/>
      <c r="N88"/>
      <c r="O88"/>
      <c r="P88"/>
      <c r="Q88"/>
      <c r="R88"/>
      <c r="S88"/>
      <c r="T88"/>
      <c r="U88"/>
      <c r="V88"/>
      <c r="W88"/>
      <c r="X88"/>
      <c r="Y88"/>
      <c r="Z88"/>
      <c r="AA88"/>
      <c r="AB88"/>
      <c r="AC88"/>
      <c r="AD88"/>
      <c r="AE88"/>
      <c r="AF88"/>
      <c r="AG88"/>
      <c r="AH88"/>
      <c r="AI88"/>
      <c r="AJ88"/>
      <c r="AK88"/>
      <c r="AL88"/>
      <c r="AM88"/>
      <c r="AN88"/>
      <c r="AO88"/>
      <c r="AP88"/>
      <c r="AQ88"/>
      <c r="AR88"/>
      <c r="AS88"/>
      <c r="AT88"/>
      <c r="AU88"/>
    </row>
    <row r="89" spans="5:58" s="2" customFormat="1" x14ac:dyDescent="0.25">
      <c r="E89" s="324"/>
      <c r="I89"/>
      <c r="J89"/>
      <c r="K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row>
    <row r="90" spans="5:58" s="2" customFormat="1" x14ac:dyDescent="0.25">
      <c r="E90" s="324"/>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row>
    <row r="91" spans="5:58" s="2" customFormat="1" x14ac:dyDescent="0.25">
      <c r="E91" s="324"/>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row>
    <row r="92" spans="5:58" s="2" customFormat="1" x14ac:dyDescent="0.25">
      <c r="E92" s="324"/>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row>
    <row r="93" spans="5:58" s="2" customFormat="1" x14ac:dyDescent="0.25">
      <c r="E93" s="324"/>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row>
    <row r="94" spans="5:58" s="2" customFormat="1" x14ac:dyDescent="0.25">
      <c r="E94" s="32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row>
    <row r="95" spans="5:58" s="2" customFormat="1" x14ac:dyDescent="0.25">
      <c r="E95" s="324"/>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row>
    <row r="96" spans="5:58" s="2" customFormat="1" x14ac:dyDescent="0.25">
      <c r="E96" s="324"/>
      <c r="N96"/>
      <c r="O96"/>
      <c r="P96"/>
      <c r="Q96"/>
      <c r="R96"/>
      <c r="S96"/>
      <c r="T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row>
    <row r="97" spans="5:58" s="2" customFormat="1" x14ac:dyDescent="0.25">
      <c r="E97" s="324"/>
      <c r="N97"/>
      <c r="O97"/>
      <c r="P97"/>
      <c r="Q97"/>
      <c r="R97"/>
      <c r="S97"/>
      <c r="T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row>
    <row r="98" spans="5:58" s="2" customFormat="1" x14ac:dyDescent="0.25">
      <c r="E98" s="324"/>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row>
    <row r="99" spans="5:58" s="2" customFormat="1" x14ac:dyDescent="0.25">
      <c r="E99" s="324"/>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row>
    <row r="100" spans="5:58" s="2" customFormat="1" x14ac:dyDescent="0.25">
      <c r="E100" s="324"/>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row>
    <row r="101" spans="5:58" s="2" customFormat="1" x14ac:dyDescent="0.25">
      <c r="E101" s="324"/>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row>
    <row r="102" spans="5:58" s="2" customFormat="1" x14ac:dyDescent="0.25">
      <c r="E102" s="324"/>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row>
    <row r="103" spans="5:58" s="2" customFormat="1" x14ac:dyDescent="0.25">
      <c r="E103" s="324"/>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row>
    <row r="104" spans="5:58" s="2" customFormat="1" x14ac:dyDescent="0.25">
      <c r="E104" s="32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row>
    <row r="105" spans="5:58" s="2" customFormat="1" x14ac:dyDescent="0.25">
      <c r="E105" s="324"/>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row>
    <row r="106" spans="5:58" s="2" customFormat="1" x14ac:dyDescent="0.25">
      <c r="E106" s="324"/>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row>
    <row r="107" spans="5:58" s="2" customFormat="1" x14ac:dyDescent="0.25">
      <c r="E107" s="324"/>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row>
    <row r="108" spans="5:58" s="2" customFormat="1" x14ac:dyDescent="0.25">
      <c r="E108" s="324"/>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row>
    <row r="109" spans="5:58" s="2" customFormat="1" x14ac:dyDescent="0.25">
      <c r="E109" s="324"/>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row>
    <row r="110" spans="5:58" s="2" customFormat="1" x14ac:dyDescent="0.25">
      <c r="E110" s="324"/>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row>
    <row r="111" spans="5:58" s="2" customFormat="1" x14ac:dyDescent="0.25">
      <c r="E111" s="324"/>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row>
    <row r="112" spans="5:58" s="2" customFormat="1" x14ac:dyDescent="0.25">
      <c r="E112" s="324"/>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row>
    <row r="113" spans="5:58" s="2" customFormat="1" x14ac:dyDescent="0.25">
      <c r="E113" s="324"/>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row>
    <row r="114" spans="5:58" s="2" customFormat="1" x14ac:dyDescent="0.25">
      <c r="E114" s="32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row>
    <row r="115" spans="5:58" s="2" customFormat="1" x14ac:dyDescent="0.25">
      <c r="E115" s="324"/>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row>
    <row r="116" spans="5:58" s="2" customFormat="1" x14ac:dyDescent="0.25">
      <c r="E116" s="324"/>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row>
    <row r="117" spans="5:58" s="2" customFormat="1" x14ac:dyDescent="0.25">
      <c r="E117" s="324"/>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row>
    <row r="118" spans="5:58" s="2" customFormat="1" x14ac:dyDescent="0.25">
      <c r="E118" s="324"/>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row>
    <row r="132" spans="13:16" x14ac:dyDescent="0.25">
      <c r="O132" s="47"/>
      <c r="P132" s="67"/>
    </row>
    <row r="133" spans="13:16" x14ac:dyDescent="0.25">
      <c r="M133" s="12"/>
      <c r="O133" s="47"/>
      <c r="P133" s="67"/>
    </row>
    <row r="186" spans="10:12" x14ac:dyDescent="0.25">
      <c r="J186" s="1"/>
      <c r="K186" s="1"/>
      <c r="L186" s="1"/>
    </row>
    <row r="187" spans="10:12" x14ac:dyDescent="0.25">
      <c r="J187" s="1"/>
      <c r="K187" s="1"/>
      <c r="L187" s="1"/>
    </row>
    <row r="188" spans="10:12" x14ac:dyDescent="0.25">
      <c r="J188" s="1"/>
      <c r="K188" s="1"/>
      <c r="L188" s="1"/>
    </row>
    <row r="189" spans="10:12" x14ac:dyDescent="0.25">
      <c r="J189" s="1"/>
      <c r="K189" s="1"/>
      <c r="L189" s="1"/>
    </row>
    <row r="190" spans="10:12" x14ac:dyDescent="0.25">
      <c r="J190" s="1"/>
      <c r="K190" s="1"/>
      <c r="L190" s="1"/>
    </row>
    <row r="191" spans="10:12" x14ac:dyDescent="0.25">
      <c r="J191" s="1"/>
      <c r="K191" s="1"/>
      <c r="L191" s="1"/>
    </row>
    <row r="192" spans="10:12" x14ac:dyDescent="0.25">
      <c r="J192" s="1"/>
      <c r="K192" s="1"/>
      <c r="L192" s="1"/>
    </row>
    <row r="193" spans="9:12" x14ac:dyDescent="0.25">
      <c r="J193" s="1"/>
      <c r="K193" s="1"/>
      <c r="L193" s="1"/>
    </row>
    <row r="194" spans="9:12" x14ac:dyDescent="0.25">
      <c r="I194" s="1"/>
      <c r="J194" s="1"/>
      <c r="K194" s="1"/>
      <c r="L194" s="1"/>
    </row>
  </sheetData>
  <customSheetViews>
    <customSheetView guid="{413575D0-A88C-4EFD-A604-365F28B09173}" state="hidden">
      <pageMargins left="0.7" right="0.7" top="0.75" bottom="0.75" header="0.3" footer="0.3"/>
    </customSheetView>
  </customSheetViews>
  <mergeCells count="3">
    <mergeCell ref="G6:G7"/>
    <mergeCell ref="I6:I7"/>
    <mergeCell ref="G55:L55"/>
  </mergeCells>
  <phoneticPr fontId="34" type="noConversion"/>
  <pageMargins left="0.7" right="0.7" top="0.75" bottom="0.75" header="0.3" footer="0.3"/>
  <pageSetup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6">
    <tabColor rgb="FFFF0000"/>
    <pageSetUpPr fitToPage="1"/>
  </sheetPr>
  <dimension ref="A1:H427"/>
  <sheetViews>
    <sheetView zoomScale="67" zoomScaleNormal="80" workbookViewId="0">
      <pane ySplit="168" topLeftCell="A388" activePane="bottomLeft" state="frozen"/>
      <selection pane="bottomLeft" activeCell="B4" sqref="B4"/>
    </sheetView>
  </sheetViews>
  <sheetFormatPr defaultColWidth="9.140625" defaultRowHeight="15" x14ac:dyDescent="0.25"/>
  <cols>
    <col min="1" max="2" width="18.5703125" style="35" customWidth="1"/>
    <col min="3" max="3" width="141" style="75" customWidth="1"/>
    <col min="4" max="4" width="12.5703125" style="35" customWidth="1"/>
    <col min="5" max="8" width="12.5703125" style="2" customWidth="1"/>
    <col min="9" max="16384" width="9.140625" style="2"/>
  </cols>
  <sheetData>
    <row r="1" spans="1:8" s="72" customFormat="1" ht="30" customHeight="1" x14ac:dyDescent="0.25">
      <c r="A1" s="351" t="str">
        <f>B4&amp;" "&amp;"Commercial Efficiency Program"</f>
        <v>2025 Commercial Efficiency Program</v>
      </c>
      <c r="B1" s="351"/>
      <c r="C1" s="351"/>
      <c r="D1" s="351"/>
      <c r="E1" s="351"/>
      <c r="F1" s="351"/>
      <c r="G1" s="351"/>
      <c r="H1" s="351"/>
    </row>
    <row r="2" spans="1:8" s="72" customFormat="1" ht="30" customHeight="1" x14ac:dyDescent="0.25">
      <c r="A2" s="352" t="s">
        <v>142</v>
      </c>
      <c r="B2" s="352"/>
      <c r="C2" s="352"/>
      <c r="D2" s="352"/>
      <c r="E2" s="352"/>
      <c r="F2" s="352"/>
      <c r="G2" s="352"/>
      <c r="H2" s="352"/>
    </row>
    <row r="3" spans="1:8" s="72" customFormat="1" ht="30" customHeight="1" x14ac:dyDescent="0.25">
      <c r="A3" s="5"/>
      <c r="B3" s="63" t="s">
        <v>1094</v>
      </c>
      <c r="C3" s="73" t="s">
        <v>53</v>
      </c>
      <c r="D3" s="5"/>
      <c r="E3" s="5"/>
      <c r="F3" s="5"/>
      <c r="G3" s="5"/>
      <c r="H3" s="5"/>
    </row>
    <row r="4" spans="1:8" s="72" customFormat="1" ht="30" customHeight="1" x14ac:dyDescent="0.25">
      <c r="A4" s="5"/>
      <c r="B4" s="52">
        <v>2025</v>
      </c>
      <c r="C4" s="73" t="s">
        <v>174</v>
      </c>
      <c r="D4" s="5"/>
      <c r="E4" s="5"/>
      <c r="F4" s="5"/>
      <c r="G4" s="5"/>
      <c r="H4" s="5"/>
    </row>
    <row r="5" spans="1:8" s="72" customFormat="1" ht="30" customHeight="1" x14ac:dyDescent="0.25">
      <c r="A5" s="5"/>
      <c r="B5" s="52" t="s">
        <v>1044</v>
      </c>
      <c r="C5" s="73" t="s">
        <v>205</v>
      </c>
      <c r="D5" s="5"/>
      <c r="E5" s="5"/>
      <c r="F5" s="5"/>
      <c r="G5" s="5"/>
      <c r="H5" s="5"/>
    </row>
    <row r="6" spans="1:8" x14ac:dyDescent="0.25">
      <c r="A6" s="74"/>
    </row>
    <row r="7" spans="1:8" x14ac:dyDescent="0.25">
      <c r="A7" s="74" t="s">
        <v>54</v>
      </c>
      <c r="B7" s="74" t="s">
        <v>53</v>
      </c>
      <c r="C7" s="76" t="s">
        <v>43</v>
      </c>
      <c r="D7" s="76" t="s">
        <v>536</v>
      </c>
    </row>
    <row r="8" spans="1:8" hidden="1" x14ac:dyDescent="0.25">
      <c r="A8" s="77">
        <v>40909</v>
      </c>
      <c r="B8" s="78">
        <v>1</v>
      </c>
      <c r="C8" s="75" t="s">
        <v>52</v>
      </c>
    </row>
    <row r="9" spans="1:8" hidden="1" x14ac:dyDescent="0.25">
      <c r="A9" s="77">
        <v>40934</v>
      </c>
      <c r="B9" s="35">
        <v>1.1000000000000001</v>
      </c>
      <c r="C9" s="2" t="s">
        <v>103</v>
      </c>
    </row>
    <row r="10" spans="1:8" hidden="1" x14ac:dyDescent="0.25">
      <c r="C10" s="2" t="s">
        <v>104</v>
      </c>
    </row>
    <row r="11" spans="1:8" hidden="1" x14ac:dyDescent="0.25">
      <c r="C11" s="2" t="s">
        <v>107</v>
      </c>
    </row>
    <row r="12" spans="1:8" hidden="1" x14ac:dyDescent="0.25">
      <c r="C12" s="2" t="s">
        <v>108</v>
      </c>
      <c r="D12" s="79" t="s">
        <v>143</v>
      </c>
    </row>
    <row r="13" spans="1:8" hidden="1" x14ac:dyDescent="0.25">
      <c r="C13" s="2" t="s">
        <v>109</v>
      </c>
    </row>
    <row r="14" spans="1:8" hidden="1" x14ac:dyDescent="0.25">
      <c r="C14" s="75" t="s">
        <v>111</v>
      </c>
    </row>
    <row r="15" spans="1:8" hidden="1" x14ac:dyDescent="0.25">
      <c r="C15" s="75" t="s">
        <v>139</v>
      </c>
    </row>
    <row r="16" spans="1:8" hidden="1" x14ac:dyDescent="0.25">
      <c r="C16" s="75" t="s">
        <v>112</v>
      </c>
    </row>
    <row r="17" spans="1:4" hidden="1" x14ac:dyDescent="0.25">
      <c r="C17" s="2" t="s">
        <v>105</v>
      </c>
    </row>
    <row r="18" spans="1:4" hidden="1" x14ac:dyDescent="0.25">
      <c r="C18" s="2" t="s">
        <v>106</v>
      </c>
    </row>
    <row r="19" spans="1:4" hidden="1" x14ac:dyDescent="0.25">
      <c r="C19" s="2" t="s">
        <v>110</v>
      </c>
    </row>
    <row r="20" spans="1:4" hidden="1" x14ac:dyDescent="0.25"/>
    <row r="21" spans="1:4" hidden="1" x14ac:dyDescent="0.25">
      <c r="A21" s="35" t="s">
        <v>113</v>
      </c>
      <c r="B21" s="35">
        <v>1.2</v>
      </c>
      <c r="C21" s="2" t="s">
        <v>114</v>
      </c>
      <c r="D21" s="35" t="s">
        <v>115</v>
      </c>
    </row>
    <row r="22" spans="1:4" hidden="1" x14ac:dyDescent="0.25">
      <c r="A22" s="35" t="s">
        <v>113</v>
      </c>
      <c r="B22" s="35">
        <v>1.2</v>
      </c>
      <c r="C22" s="2" t="s">
        <v>116</v>
      </c>
      <c r="D22" s="35" t="s">
        <v>115</v>
      </c>
    </row>
    <row r="23" spans="1:4" ht="75" hidden="1" x14ac:dyDescent="0.25">
      <c r="A23" s="35" t="s">
        <v>117</v>
      </c>
      <c r="B23" s="35">
        <v>1.2</v>
      </c>
      <c r="C23" s="80" t="s">
        <v>171</v>
      </c>
      <c r="D23" s="35" t="s">
        <v>115</v>
      </c>
    </row>
    <row r="24" spans="1:4" hidden="1" x14ac:dyDescent="0.25">
      <c r="A24" s="77" t="s">
        <v>132</v>
      </c>
      <c r="B24" s="78">
        <v>1.2</v>
      </c>
      <c r="C24" s="75" t="s">
        <v>133</v>
      </c>
      <c r="D24" s="77" t="s">
        <v>115</v>
      </c>
    </row>
    <row r="25" spans="1:4" ht="16.5" hidden="1" x14ac:dyDescent="0.25">
      <c r="A25" s="81" t="s">
        <v>132</v>
      </c>
      <c r="B25" s="35">
        <v>1.2</v>
      </c>
      <c r="C25" s="82" t="s">
        <v>144</v>
      </c>
      <c r="D25" s="81" t="s">
        <v>115</v>
      </c>
    </row>
    <row r="26" spans="1:4" hidden="1" x14ac:dyDescent="0.25">
      <c r="A26" s="35" t="s">
        <v>118</v>
      </c>
      <c r="B26" s="35" t="s">
        <v>119</v>
      </c>
      <c r="C26" s="75" t="s">
        <v>120</v>
      </c>
      <c r="D26" s="35" t="s">
        <v>115</v>
      </c>
    </row>
    <row r="27" spans="1:4" hidden="1" x14ac:dyDescent="0.25">
      <c r="A27" s="77" t="s">
        <v>118</v>
      </c>
      <c r="B27" s="78">
        <v>1.2</v>
      </c>
      <c r="C27" s="75" t="s">
        <v>127</v>
      </c>
      <c r="D27" s="77" t="s">
        <v>115</v>
      </c>
    </row>
    <row r="28" spans="1:4" hidden="1" x14ac:dyDescent="0.25">
      <c r="A28" s="77" t="s">
        <v>118</v>
      </c>
      <c r="B28" s="78">
        <v>1.2</v>
      </c>
      <c r="C28" s="75" t="s">
        <v>128</v>
      </c>
      <c r="D28" s="77" t="s">
        <v>115</v>
      </c>
    </row>
    <row r="29" spans="1:4" hidden="1" x14ac:dyDescent="0.25">
      <c r="A29" s="77" t="s">
        <v>118</v>
      </c>
      <c r="B29" s="78">
        <v>1.2</v>
      </c>
      <c r="C29" s="75" t="s">
        <v>129</v>
      </c>
      <c r="D29" s="77" t="s">
        <v>115</v>
      </c>
    </row>
    <row r="30" spans="1:4" hidden="1" x14ac:dyDescent="0.25">
      <c r="A30" s="77" t="s">
        <v>118</v>
      </c>
      <c r="B30" s="78">
        <v>1.2</v>
      </c>
      <c r="C30" s="75" t="s">
        <v>130</v>
      </c>
      <c r="D30" s="77" t="s">
        <v>115</v>
      </c>
    </row>
    <row r="31" spans="1:4" hidden="1" x14ac:dyDescent="0.25">
      <c r="A31" s="77" t="s">
        <v>118</v>
      </c>
      <c r="B31" s="78">
        <v>1.2</v>
      </c>
      <c r="C31" s="75" t="s">
        <v>140</v>
      </c>
      <c r="D31" s="77" t="s">
        <v>115</v>
      </c>
    </row>
    <row r="32" spans="1:4" hidden="1" x14ac:dyDescent="0.25">
      <c r="A32" s="77" t="s">
        <v>118</v>
      </c>
      <c r="B32" s="78">
        <v>1.2</v>
      </c>
      <c r="C32" s="75" t="s">
        <v>131</v>
      </c>
      <c r="D32" s="77" t="s">
        <v>115</v>
      </c>
    </row>
    <row r="33" spans="1:5" hidden="1" x14ac:dyDescent="0.25">
      <c r="A33" s="77" t="s">
        <v>118</v>
      </c>
      <c r="B33" s="78">
        <v>1.2</v>
      </c>
      <c r="C33" s="75" t="s">
        <v>134</v>
      </c>
      <c r="D33" s="77" t="s">
        <v>115</v>
      </c>
    </row>
    <row r="34" spans="1:5" hidden="1" x14ac:dyDescent="0.25">
      <c r="A34" s="35" t="s">
        <v>123</v>
      </c>
      <c r="B34" s="35">
        <v>1.2</v>
      </c>
      <c r="C34" s="75" t="s">
        <v>124</v>
      </c>
      <c r="D34" s="35" t="s">
        <v>126</v>
      </c>
    </row>
    <row r="35" spans="1:5" hidden="1" x14ac:dyDescent="0.25">
      <c r="A35" s="77" t="s">
        <v>123</v>
      </c>
      <c r="B35" s="78">
        <v>1.2</v>
      </c>
      <c r="C35" s="75" t="s">
        <v>135</v>
      </c>
      <c r="D35" s="77" t="s">
        <v>136</v>
      </c>
    </row>
    <row r="36" spans="1:5" hidden="1" x14ac:dyDescent="0.25">
      <c r="A36" s="77" t="s">
        <v>123</v>
      </c>
      <c r="B36" s="78">
        <v>1.2</v>
      </c>
      <c r="C36" s="75" t="s">
        <v>137</v>
      </c>
      <c r="D36" s="77" t="s">
        <v>138</v>
      </c>
    </row>
    <row r="37" spans="1:5" ht="16.5" hidden="1" x14ac:dyDescent="0.25">
      <c r="C37" s="75" t="s">
        <v>125</v>
      </c>
      <c r="E37" s="83"/>
    </row>
    <row r="38" spans="1:5" ht="16.5" hidden="1" x14ac:dyDescent="0.25">
      <c r="A38" s="81"/>
      <c r="B38" s="35">
        <v>1.2</v>
      </c>
      <c r="C38" s="80" t="s">
        <v>145</v>
      </c>
      <c r="D38" s="81" t="s">
        <v>136</v>
      </c>
      <c r="E38" s="83"/>
    </row>
    <row r="39" spans="1:5" ht="16.5" hidden="1" x14ac:dyDescent="0.25">
      <c r="A39" s="81"/>
      <c r="B39" s="35">
        <v>1.2</v>
      </c>
      <c r="C39" s="82" t="s">
        <v>146</v>
      </c>
      <c r="D39" s="81" t="s">
        <v>115</v>
      </c>
      <c r="E39" s="83"/>
    </row>
    <row r="40" spans="1:5" ht="16.5" hidden="1" x14ac:dyDescent="0.25">
      <c r="A40" s="81"/>
      <c r="B40" s="35">
        <v>1.2</v>
      </c>
      <c r="C40" s="82" t="s">
        <v>147</v>
      </c>
      <c r="D40" s="81" t="s">
        <v>126</v>
      </c>
      <c r="E40" s="83"/>
    </row>
    <row r="41" spans="1:5" ht="16.5" hidden="1" x14ac:dyDescent="0.25">
      <c r="A41" s="81"/>
      <c r="B41" s="35">
        <v>1.2</v>
      </c>
      <c r="C41" s="80" t="s">
        <v>148</v>
      </c>
      <c r="D41" s="81" t="s">
        <v>126</v>
      </c>
      <c r="E41" s="83"/>
    </row>
    <row r="42" spans="1:5" ht="16.5" hidden="1" x14ac:dyDescent="0.25">
      <c r="A42" s="84"/>
      <c r="B42" s="35">
        <v>1.2</v>
      </c>
      <c r="C42" s="82" t="s">
        <v>149</v>
      </c>
      <c r="D42" s="81" t="s">
        <v>136</v>
      </c>
      <c r="E42" s="72"/>
    </row>
    <row r="43" spans="1:5" ht="30" hidden="1" x14ac:dyDescent="0.25">
      <c r="A43" s="84"/>
      <c r="B43" s="35">
        <v>1.2</v>
      </c>
      <c r="C43" s="80" t="s">
        <v>150</v>
      </c>
      <c r="D43" s="81" t="s">
        <v>136</v>
      </c>
      <c r="E43" s="72"/>
    </row>
    <row r="44" spans="1:5" hidden="1" x14ac:dyDescent="0.25">
      <c r="A44" s="35" t="s">
        <v>151</v>
      </c>
      <c r="B44" s="35">
        <v>1.3</v>
      </c>
      <c r="C44" s="85" t="s">
        <v>120</v>
      </c>
      <c r="D44" s="35" t="s">
        <v>115</v>
      </c>
    </row>
    <row r="45" spans="1:5" hidden="1" x14ac:dyDescent="0.25">
      <c r="A45" s="35" t="s">
        <v>153</v>
      </c>
      <c r="B45" s="35">
        <v>1.3</v>
      </c>
      <c r="C45" s="85" t="s">
        <v>152</v>
      </c>
      <c r="D45" s="35" t="s">
        <v>115</v>
      </c>
    </row>
    <row r="46" spans="1:5" hidden="1" x14ac:dyDescent="0.25">
      <c r="A46" s="35" t="s">
        <v>153</v>
      </c>
      <c r="B46" s="35">
        <v>1.3</v>
      </c>
      <c r="C46" s="85" t="s">
        <v>154</v>
      </c>
      <c r="D46" s="35" t="s">
        <v>115</v>
      </c>
    </row>
    <row r="47" spans="1:5" hidden="1" x14ac:dyDescent="0.25">
      <c r="A47" s="35" t="s">
        <v>153</v>
      </c>
      <c r="B47" s="35">
        <v>1.3</v>
      </c>
      <c r="C47" s="85" t="s">
        <v>155</v>
      </c>
      <c r="D47" s="35" t="s">
        <v>126</v>
      </c>
    </row>
    <row r="48" spans="1:5" hidden="1" x14ac:dyDescent="0.25">
      <c r="A48" s="35" t="s">
        <v>156</v>
      </c>
      <c r="B48" s="35">
        <v>1.3</v>
      </c>
      <c r="C48" s="85" t="s">
        <v>157</v>
      </c>
      <c r="D48" s="35" t="s">
        <v>136</v>
      </c>
    </row>
    <row r="49" spans="1:4" hidden="1" x14ac:dyDescent="0.25">
      <c r="A49" s="35" t="s">
        <v>164</v>
      </c>
      <c r="B49" s="35">
        <v>1.3</v>
      </c>
      <c r="C49" s="85" t="s">
        <v>158</v>
      </c>
      <c r="D49" s="35" t="s">
        <v>115</v>
      </c>
    </row>
    <row r="50" spans="1:4" hidden="1" x14ac:dyDescent="0.25">
      <c r="A50" s="35" t="s">
        <v>164</v>
      </c>
      <c r="B50" s="35">
        <v>1.3</v>
      </c>
      <c r="C50" s="85" t="s">
        <v>159</v>
      </c>
      <c r="D50" s="35" t="s">
        <v>115</v>
      </c>
    </row>
    <row r="51" spans="1:4" hidden="1" x14ac:dyDescent="0.25">
      <c r="A51" s="35" t="s">
        <v>164</v>
      </c>
      <c r="B51" s="35">
        <v>1.3</v>
      </c>
      <c r="C51" s="85" t="s">
        <v>160</v>
      </c>
      <c r="D51" s="35" t="s">
        <v>115</v>
      </c>
    </row>
    <row r="52" spans="1:4" hidden="1" x14ac:dyDescent="0.25">
      <c r="A52" s="35" t="s">
        <v>164</v>
      </c>
      <c r="B52" s="35">
        <v>1.3</v>
      </c>
      <c r="C52" s="85" t="s">
        <v>161</v>
      </c>
      <c r="D52" s="35" t="s">
        <v>115</v>
      </c>
    </row>
    <row r="53" spans="1:4" hidden="1" x14ac:dyDescent="0.25">
      <c r="A53" s="35" t="s">
        <v>164</v>
      </c>
      <c r="B53" s="35">
        <v>1.3</v>
      </c>
      <c r="C53" s="85" t="s">
        <v>162</v>
      </c>
      <c r="D53" s="35" t="s">
        <v>115</v>
      </c>
    </row>
    <row r="54" spans="1:4" hidden="1" x14ac:dyDescent="0.25">
      <c r="A54" s="35" t="s">
        <v>164</v>
      </c>
      <c r="B54" s="35">
        <v>1.3</v>
      </c>
      <c r="C54" s="85" t="s">
        <v>163</v>
      </c>
      <c r="D54" s="35" t="s">
        <v>115</v>
      </c>
    </row>
    <row r="55" spans="1:4" hidden="1" x14ac:dyDescent="0.25">
      <c r="A55" s="35" t="s">
        <v>166</v>
      </c>
      <c r="B55" s="35">
        <v>1.3</v>
      </c>
      <c r="C55" s="85" t="s">
        <v>165</v>
      </c>
      <c r="D55" s="35" t="s">
        <v>115</v>
      </c>
    </row>
    <row r="56" spans="1:4" hidden="1" x14ac:dyDescent="0.25">
      <c r="A56" s="35" t="s">
        <v>167</v>
      </c>
      <c r="B56" s="35">
        <v>1.3</v>
      </c>
      <c r="C56" s="85" t="s">
        <v>168</v>
      </c>
      <c r="D56" s="35" t="s">
        <v>126</v>
      </c>
    </row>
    <row r="57" spans="1:4" hidden="1" x14ac:dyDescent="0.25">
      <c r="A57" s="35" t="s">
        <v>170</v>
      </c>
      <c r="B57" s="35">
        <v>1.3</v>
      </c>
      <c r="C57" s="85" t="s">
        <v>169</v>
      </c>
      <c r="D57" s="35" t="s">
        <v>115</v>
      </c>
    </row>
    <row r="58" spans="1:4" hidden="1" x14ac:dyDescent="0.25">
      <c r="A58" s="35" t="s">
        <v>173</v>
      </c>
      <c r="B58" s="78">
        <v>1</v>
      </c>
      <c r="C58" s="75" t="s">
        <v>172</v>
      </c>
      <c r="D58" s="35" t="s">
        <v>115</v>
      </c>
    </row>
    <row r="59" spans="1:4" hidden="1" x14ac:dyDescent="0.25">
      <c r="A59" s="35" t="s">
        <v>176</v>
      </c>
      <c r="B59" s="78">
        <v>1</v>
      </c>
      <c r="C59" s="75" t="s">
        <v>175</v>
      </c>
      <c r="D59" s="35" t="s">
        <v>115</v>
      </c>
    </row>
    <row r="60" spans="1:4" hidden="1" x14ac:dyDescent="0.25">
      <c r="A60" s="35" t="s">
        <v>178</v>
      </c>
      <c r="B60" s="78">
        <v>1</v>
      </c>
      <c r="C60" s="75" t="s">
        <v>177</v>
      </c>
      <c r="D60" s="35" t="s">
        <v>115</v>
      </c>
    </row>
    <row r="61" spans="1:4" hidden="1" x14ac:dyDescent="0.25">
      <c r="A61" s="35" t="s">
        <v>178</v>
      </c>
      <c r="B61" s="78">
        <v>1</v>
      </c>
      <c r="C61" s="75" t="s">
        <v>179</v>
      </c>
      <c r="D61" s="35" t="s">
        <v>115</v>
      </c>
    </row>
    <row r="62" spans="1:4" hidden="1" x14ac:dyDescent="0.25">
      <c r="A62" s="35" t="s">
        <v>178</v>
      </c>
      <c r="B62" s="78">
        <v>1</v>
      </c>
      <c r="C62" s="75" t="s">
        <v>180</v>
      </c>
      <c r="D62" s="35" t="s">
        <v>115</v>
      </c>
    </row>
    <row r="63" spans="1:4" hidden="1" x14ac:dyDescent="0.25">
      <c r="A63" s="35" t="s">
        <v>178</v>
      </c>
      <c r="B63" s="78">
        <v>1</v>
      </c>
      <c r="C63" s="75" t="s">
        <v>182</v>
      </c>
      <c r="D63" s="35" t="s">
        <v>115</v>
      </c>
    </row>
    <row r="64" spans="1:4" hidden="1" x14ac:dyDescent="0.25">
      <c r="A64" s="35" t="s">
        <v>178</v>
      </c>
      <c r="B64" s="78">
        <v>1</v>
      </c>
      <c r="C64" s="75" t="s">
        <v>183</v>
      </c>
      <c r="D64" s="35" t="s">
        <v>115</v>
      </c>
    </row>
    <row r="65" spans="1:4" hidden="1" x14ac:dyDescent="0.25">
      <c r="A65" s="35" t="s">
        <v>178</v>
      </c>
      <c r="B65" s="78">
        <v>1</v>
      </c>
      <c r="C65" s="75" t="s">
        <v>184</v>
      </c>
      <c r="D65" s="35" t="s">
        <v>115</v>
      </c>
    </row>
    <row r="66" spans="1:4" hidden="1" x14ac:dyDescent="0.25">
      <c r="A66" s="35" t="s">
        <v>178</v>
      </c>
      <c r="B66" s="78">
        <v>1</v>
      </c>
      <c r="C66" s="75" t="s">
        <v>185</v>
      </c>
      <c r="D66" s="35" t="s">
        <v>115</v>
      </c>
    </row>
    <row r="67" spans="1:4" hidden="1" x14ac:dyDescent="0.25">
      <c r="A67" s="35" t="s">
        <v>178</v>
      </c>
      <c r="B67" s="78">
        <v>1</v>
      </c>
      <c r="C67" s="75" t="s">
        <v>186</v>
      </c>
      <c r="D67" s="35" t="s">
        <v>115</v>
      </c>
    </row>
    <row r="68" spans="1:4" hidden="1" x14ac:dyDescent="0.25">
      <c r="A68" s="35" t="s">
        <v>178</v>
      </c>
      <c r="B68" s="78">
        <v>1</v>
      </c>
      <c r="C68" s="75" t="s">
        <v>187</v>
      </c>
      <c r="D68" s="35" t="s">
        <v>115</v>
      </c>
    </row>
    <row r="69" spans="1:4" hidden="1" x14ac:dyDescent="0.25">
      <c r="A69" s="35" t="s">
        <v>189</v>
      </c>
      <c r="B69" s="78">
        <v>1</v>
      </c>
      <c r="C69" s="75" t="s">
        <v>188</v>
      </c>
      <c r="D69" s="35" t="s">
        <v>126</v>
      </c>
    </row>
    <row r="70" spans="1:4" hidden="1" x14ac:dyDescent="0.25">
      <c r="A70" s="35" t="s">
        <v>191</v>
      </c>
      <c r="B70" s="78">
        <v>1</v>
      </c>
      <c r="C70" s="75" t="s">
        <v>190</v>
      </c>
      <c r="D70" s="35" t="s">
        <v>115</v>
      </c>
    </row>
    <row r="71" spans="1:4" hidden="1" x14ac:dyDescent="0.25">
      <c r="A71" s="35" t="s">
        <v>192</v>
      </c>
      <c r="B71" s="78">
        <v>1</v>
      </c>
      <c r="C71" s="75" t="s">
        <v>193</v>
      </c>
      <c r="D71" s="35" t="s">
        <v>136</v>
      </c>
    </row>
    <row r="72" spans="1:4" hidden="1" x14ac:dyDescent="0.25">
      <c r="A72" s="35" t="s">
        <v>196</v>
      </c>
      <c r="B72" s="78">
        <v>2</v>
      </c>
      <c r="C72" s="75" t="s">
        <v>194</v>
      </c>
      <c r="D72" s="35" t="s">
        <v>115</v>
      </c>
    </row>
    <row r="73" spans="1:4" hidden="1" x14ac:dyDescent="0.25">
      <c r="A73" s="35" t="s">
        <v>196</v>
      </c>
      <c r="B73" s="78">
        <v>2</v>
      </c>
      <c r="C73" s="75" t="s">
        <v>195</v>
      </c>
      <c r="D73" s="35" t="s">
        <v>115</v>
      </c>
    </row>
    <row r="74" spans="1:4" hidden="1" x14ac:dyDescent="0.25">
      <c r="A74" s="35" t="s">
        <v>196</v>
      </c>
      <c r="B74" s="78">
        <v>2</v>
      </c>
      <c r="C74" s="75" t="s">
        <v>198</v>
      </c>
      <c r="D74" s="35" t="s">
        <v>115</v>
      </c>
    </row>
    <row r="75" spans="1:4" hidden="1" x14ac:dyDescent="0.25">
      <c r="A75" s="35" t="s">
        <v>196</v>
      </c>
      <c r="B75" s="78">
        <v>2</v>
      </c>
      <c r="C75" s="75" t="s">
        <v>197</v>
      </c>
      <c r="D75" s="35" t="s">
        <v>115</v>
      </c>
    </row>
    <row r="76" spans="1:4" hidden="1" x14ac:dyDescent="0.25">
      <c r="A76" s="35" t="s">
        <v>199</v>
      </c>
      <c r="B76" s="78">
        <v>2</v>
      </c>
      <c r="C76" s="75" t="s">
        <v>200</v>
      </c>
      <c r="D76" s="35" t="s">
        <v>126</v>
      </c>
    </row>
    <row r="77" spans="1:4" hidden="1" x14ac:dyDescent="0.25">
      <c r="A77" s="35" t="s">
        <v>202</v>
      </c>
      <c r="B77" s="78">
        <v>2</v>
      </c>
      <c r="C77" s="75" t="s">
        <v>201</v>
      </c>
      <c r="D77" s="35" t="s">
        <v>115</v>
      </c>
    </row>
    <row r="78" spans="1:4" hidden="1" x14ac:dyDescent="0.25">
      <c r="A78" s="35" t="s">
        <v>204</v>
      </c>
      <c r="B78" s="78">
        <v>2</v>
      </c>
      <c r="C78" s="75" t="s">
        <v>203</v>
      </c>
      <c r="D78" s="35" t="s">
        <v>115</v>
      </c>
    </row>
    <row r="79" spans="1:4" hidden="1" x14ac:dyDescent="0.25">
      <c r="A79" s="35" t="s">
        <v>208</v>
      </c>
      <c r="B79" s="78">
        <v>3</v>
      </c>
      <c r="C79" s="75" t="s">
        <v>206</v>
      </c>
      <c r="D79" s="35" t="s">
        <v>115</v>
      </c>
    </row>
    <row r="80" spans="1:4" hidden="1" x14ac:dyDescent="0.25">
      <c r="A80" s="35" t="s">
        <v>208</v>
      </c>
      <c r="B80" s="78">
        <v>3</v>
      </c>
      <c r="C80" s="75" t="s">
        <v>207</v>
      </c>
      <c r="D80" s="35" t="s">
        <v>115</v>
      </c>
    </row>
    <row r="81" spans="1:4" hidden="1" x14ac:dyDescent="0.25">
      <c r="A81" s="35" t="s">
        <v>213</v>
      </c>
      <c r="B81" s="78">
        <v>1</v>
      </c>
      <c r="C81" s="75" t="s">
        <v>212</v>
      </c>
      <c r="D81" s="35" t="s">
        <v>115</v>
      </c>
    </row>
    <row r="82" spans="1:4" hidden="1" x14ac:dyDescent="0.25">
      <c r="A82" s="35" t="s">
        <v>213</v>
      </c>
      <c r="B82" s="78">
        <v>1</v>
      </c>
      <c r="C82" s="75" t="s">
        <v>209</v>
      </c>
      <c r="D82" s="35" t="s">
        <v>115</v>
      </c>
    </row>
    <row r="83" spans="1:4" hidden="1" x14ac:dyDescent="0.25">
      <c r="A83" s="35" t="s">
        <v>213</v>
      </c>
      <c r="B83" s="78">
        <v>1</v>
      </c>
      <c r="C83" s="75" t="s">
        <v>211</v>
      </c>
      <c r="D83" s="35" t="s">
        <v>115</v>
      </c>
    </row>
    <row r="84" spans="1:4" hidden="1" x14ac:dyDescent="0.25">
      <c r="A84" s="35" t="s">
        <v>213</v>
      </c>
      <c r="B84" s="78">
        <v>1</v>
      </c>
      <c r="C84" s="75" t="s">
        <v>210</v>
      </c>
      <c r="D84" s="35" t="s">
        <v>115</v>
      </c>
    </row>
    <row r="85" spans="1:4" hidden="1" x14ac:dyDescent="0.25">
      <c r="A85" s="35" t="s">
        <v>218</v>
      </c>
      <c r="B85" s="78">
        <v>1</v>
      </c>
      <c r="C85" s="75" t="s">
        <v>215</v>
      </c>
      <c r="D85" s="35" t="s">
        <v>115</v>
      </c>
    </row>
    <row r="86" spans="1:4" hidden="1" x14ac:dyDescent="0.25">
      <c r="A86" s="35" t="s">
        <v>218</v>
      </c>
      <c r="B86" s="78">
        <v>1</v>
      </c>
      <c r="C86" s="75" t="s">
        <v>216</v>
      </c>
      <c r="D86" s="35" t="s">
        <v>115</v>
      </c>
    </row>
    <row r="87" spans="1:4" hidden="1" x14ac:dyDescent="0.25">
      <c r="A87" s="35" t="s">
        <v>218</v>
      </c>
      <c r="B87" s="78">
        <v>1</v>
      </c>
      <c r="C87" s="86" t="s">
        <v>217</v>
      </c>
      <c r="D87" s="35" t="s">
        <v>115</v>
      </c>
    </row>
    <row r="88" spans="1:4" hidden="1" x14ac:dyDescent="0.25">
      <c r="A88" s="35" t="s">
        <v>221</v>
      </c>
      <c r="B88" s="78">
        <v>1</v>
      </c>
      <c r="C88" s="75" t="s">
        <v>219</v>
      </c>
      <c r="D88" s="35" t="s">
        <v>115</v>
      </c>
    </row>
    <row r="89" spans="1:4" hidden="1" x14ac:dyDescent="0.25">
      <c r="A89" s="35" t="s">
        <v>221</v>
      </c>
      <c r="B89" s="78">
        <v>1</v>
      </c>
      <c r="C89" s="75" t="s">
        <v>220</v>
      </c>
      <c r="D89" s="35" t="s">
        <v>115</v>
      </c>
    </row>
    <row r="90" spans="1:4" hidden="1" x14ac:dyDescent="0.25">
      <c r="A90" s="35" t="s">
        <v>225</v>
      </c>
      <c r="B90" s="78">
        <v>1</v>
      </c>
      <c r="C90" s="75" t="s">
        <v>222</v>
      </c>
      <c r="D90" s="35" t="s">
        <v>115</v>
      </c>
    </row>
    <row r="91" spans="1:4" hidden="1" x14ac:dyDescent="0.25">
      <c r="A91" s="35" t="s">
        <v>225</v>
      </c>
      <c r="B91" s="78">
        <v>1</v>
      </c>
      <c r="C91" s="75" t="s">
        <v>223</v>
      </c>
      <c r="D91" s="35" t="s">
        <v>115</v>
      </c>
    </row>
    <row r="92" spans="1:4" hidden="1" x14ac:dyDescent="0.25">
      <c r="A92" s="35" t="s">
        <v>225</v>
      </c>
      <c r="B92" s="78">
        <v>1</v>
      </c>
      <c r="C92" s="75" t="s">
        <v>224</v>
      </c>
      <c r="D92" s="35" t="s">
        <v>115</v>
      </c>
    </row>
    <row r="93" spans="1:4" hidden="1" x14ac:dyDescent="0.25">
      <c r="A93" s="35" t="s">
        <v>228</v>
      </c>
      <c r="B93" s="35">
        <v>1.1000000000000001</v>
      </c>
      <c r="C93" s="75" t="s">
        <v>229</v>
      </c>
      <c r="D93" s="35" t="s">
        <v>230</v>
      </c>
    </row>
    <row r="94" spans="1:4" hidden="1" x14ac:dyDescent="0.25">
      <c r="A94" s="35" t="s">
        <v>276</v>
      </c>
      <c r="B94" s="35">
        <v>1.2</v>
      </c>
      <c r="C94" s="75" t="s">
        <v>232</v>
      </c>
      <c r="D94" s="35" t="s">
        <v>115</v>
      </c>
    </row>
    <row r="95" spans="1:4" hidden="1" x14ac:dyDescent="0.25">
      <c r="A95" s="35" t="s">
        <v>276</v>
      </c>
      <c r="B95" s="35">
        <v>1.2</v>
      </c>
      <c r="C95" s="75" t="s">
        <v>275</v>
      </c>
      <c r="D95" s="35" t="s">
        <v>115</v>
      </c>
    </row>
    <row r="96" spans="1:4" hidden="1" x14ac:dyDescent="0.25">
      <c r="A96" s="35" t="s">
        <v>277</v>
      </c>
      <c r="B96" s="35">
        <v>1.2</v>
      </c>
      <c r="C96" s="75" t="s">
        <v>278</v>
      </c>
      <c r="D96" s="35" t="s">
        <v>126</v>
      </c>
    </row>
    <row r="97" spans="1:4" hidden="1" x14ac:dyDescent="0.25">
      <c r="A97" s="35" t="s">
        <v>285</v>
      </c>
      <c r="B97" s="78">
        <v>2</v>
      </c>
      <c r="C97" s="75" t="s">
        <v>279</v>
      </c>
      <c r="D97" s="35" t="s">
        <v>284</v>
      </c>
    </row>
    <row r="98" spans="1:4" hidden="1" x14ac:dyDescent="0.25">
      <c r="A98" s="35" t="s">
        <v>285</v>
      </c>
      <c r="B98" s="78">
        <v>2</v>
      </c>
      <c r="C98" s="75" t="s">
        <v>280</v>
      </c>
      <c r="D98" s="35" t="s">
        <v>284</v>
      </c>
    </row>
    <row r="99" spans="1:4" hidden="1" x14ac:dyDescent="0.25">
      <c r="A99" s="35" t="s">
        <v>285</v>
      </c>
      <c r="B99" s="78">
        <v>2</v>
      </c>
      <c r="C99" s="75" t="s">
        <v>281</v>
      </c>
      <c r="D99" s="35" t="s">
        <v>284</v>
      </c>
    </row>
    <row r="100" spans="1:4" hidden="1" x14ac:dyDescent="0.25">
      <c r="A100" s="35" t="s">
        <v>285</v>
      </c>
      <c r="B100" s="78">
        <v>2</v>
      </c>
      <c r="C100" s="75" t="s">
        <v>282</v>
      </c>
      <c r="D100" s="35" t="s">
        <v>284</v>
      </c>
    </row>
    <row r="101" spans="1:4" hidden="1" x14ac:dyDescent="0.25">
      <c r="A101" s="35" t="s">
        <v>285</v>
      </c>
      <c r="B101" s="78">
        <v>2</v>
      </c>
      <c r="C101" s="75" t="s">
        <v>283</v>
      </c>
      <c r="D101" s="35" t="s">
        <v>284</v>
      </c>
    </row>
    <row r="102" spans="1:4" hidden="1" x14ac:dyDescent="0.25">
      <c r="A102" s="35" t="s">
        <v>287</v>
      </c>
      <c r="B102" s="35">
        <v>2.1</v>
      </c>
      <c r="C102" s="75" t="s">
        <v>288</v>
      </c>
      <c r="D102" s="35" t="s">
        <v>115</v>
      </c>
    </row>
    <row r="103" spans="1:4" hidden="1" x14ac:dyDescent="0.25">
      <c r="A103" s="35" t="s">
        <v>287</v>
      </c>
      <c r="B103" s="35">
        <v>2.1</v>
      </c>
      <c r="C103" s="75" t="s">
        <v>289</v>
      </c>
      <c r="D103" s="35" t="s">
        <v>115</v>
      </c>
    </row>
    <row r="104" spans="1:4" hidden="1" x14ac:dyDescent="0.25">
      <c r="A104" s="35" t="s">
        <v>290</v>
      </c>
      <c r="B104" s="78">
        <v>1</v>
      </c>
      <c r="C104" s="2" t="s">
        <v>291</v>
      </c>
      <c r="D104" s="35" t="s">
        <v>284</v>
      </c>
    </row>
    <row r="105" spans="1:4" ht="16.5" hidden="1" x14ac:dyDescent="0.25">
      <c r="A105" s="35" t="s">
        <v>290</v>
      </c>
      <c r="B105" s="78">
        <v>1</v>
      </c>
      <c r="C105" s="27" t="s">
        <v>292</v>
      </c>
      <c r="D105" s="35" t="s">
        <v>284</v>
      </c>
    </row>
    <row r="106" spans="1:4" hidden="1" x14ac:dyDescent="0.25">
      <c r="A106" s="35" t="s">
        <v>290</v>
      </c>
      <c r="B106" s="78">
        <v>1</v>
      </c>
      <c r="C106" s="75" t="s">
        <v>293</v>
      </c>
      <c r="D106" s="35" t="s">
        <v>284</v>
      </c>
    </row>
    <row r="107" spans="1:4" hidden="1" x14ac:dyDescent="0.25">
      <c r="A107" s="35" t="s">
        <v>290</v>
      </c>
      <c r="B107" s="78">
        <v>1</v>
      </c>
      <c r="C107" s="75" t="s">
        <v>294</v>
      </c>
      <c r="D107" s="35" t="s">
        <v>284</v>
      </c>
    </row>
    <row r="108" spans="1:4" hidden="1" x14ac:dyDescent="0.25">
      <c r="A108" s="35" t="s">
        <v>290</v>
      </c>
      <c r="B108" s="78">
        <v>1</v>
      </c>
      <c r="C108" s="75" t="s">
        <v>295</v>
      </c>
      <c r="D108" s="35" t="s">
        <v>284</v>
      </c>
    </row>
    <row r="109" spans="1:4" hidden="1" x14ac:dyDescent="0.25">
      <c r="A109" s="35" t="s">
        <v>290</v>
      </c>
      <c r="B109" s="78">
        <v>1</v>
      </c>
      <c r="C109" s="75" t="s">
        <v>296</v>
      </c>
      <c r="D109" s="35" t="s">
        <v>284</v>
      </c>
    </row>
    <row r="110" spans="1:4" hidden="1" x14ac:dyDescent="0.25">
      <c r="A110" s="35" t="s">
        <v>290</v>
      </c>
      <c r="B110" s="78">
        <v>1</v>
      </c>
      <c r="C110" s="2" t="s">
        <v>297</v>
      </c>
      <c r="D110" s="35" t="s">
        <v>284</v>
      </c>
    </row>
    <row r="111" spans="1:4" ht="16.5" hidden="1" x14ac:dyDescent="0.25">
      <c r="A111" s="35" t="s">
        <v>290</v>
      </c>
      <c r="B111" s="78">
        <v>1</v>
      </c>
      <c r="C111" s="27" t="s">
        <v>299</v>
      </c>
      <c r="D111" s="35" t="s">
        <v>284</v>
      </c>
    </row>
    <row r="112" spans="1:4" hidden="1" x14ac:dyDescent="0.25">
      <c r="A112" s="35" t="s">
        <v>290</v>
      </c>
      <c r="B112" s="78">
        <v>1</v>
      </c>
      <c r="C112" s="75" t="s">
        <v>300</v>
      </c>
      <c r="D112" s="35" t="s">
        <v>284</v>
      </c>
    </row>
    <row r="113" spans="1:4" ht="16.5" hidden="1" x14ac:dyDescent="0.25">
      <c r="A113" s="35" t="s">
        <v>290</v>
      </c>
      <c r="B113" s="78">
        <v>1</v>
      </c>
      <c r="C113" s="27" t="s">
        <v>301</v>
      </c>
      <c r="D113" s="35" t="s">
        <v>284</v>
      </c>
    </row>
    <row r="114" spans="1:4" hidden="1" x14ac:dyDescent="0.25">
      <c r="A114" s="35" t="s">
        <v>290</v>
      </c>
      <c r="B114" s="78">
        <v>1</v>
      </c>
      <c r="C114" s="2" t="s">
        <v>302</v>
      </c>
      <c r="D114" s="35" t="s">
        <v>284</v>
      </c>
    </row>
    <row r="115" spans="1:4" hidden="1" x14ac:dyDescent="0.25">
      <c r="A115" s="35" t="s">
        <v>290</v>
      </c>
      <c r="B115" s="78">
        <v>1</v>
      </c>
      <c r="C115" s="75" t="s">
        <v>303</v>
      </c>
      <c r="D115" s="35" t="s">
        <v>284</v>
      </c>
    </row>
    <row r="116" spans="1:4" hidden="1" x14ac:dyDescent="0.25">
      <c r="A116" s="35" t="s">
        <v>304</v>
      </c>
      <c r="B116" s="78">
        <v>1</v>
      </c>
      <c r="C116" s="75" t="s">
        <v>305</v>
      </c>
      <c r="D116" s="35" t="s">
        <v>284</v>
      </c>
    </row>
    <row r="117" spans="1:4" ht="16.5" hidden="1" x14ac:dyDescent="0.25">
      <c r="A117" s="84" t="s">
        <v>304</v>
      </c>
      <c r="B117" s="87">
        <v>1</v>
      </c>
      <c r="C117" s="27" t="s">
        <v>306</v>
      </c>
      <c r="D117" s="84" t="s">
        <v>284</v>
      </c>
    </row>
    <row r="118" spans="1:4" hidden="1" x14ac:dyDescent="0.25">
      <c r="A118" s="35" t="s">
        <v>310</v>
      </c>
      <c r="B118" s="78">
        <v>1</v>
      </c>
      <c r="C118" s="75" t="s">
        <v>311</v>
      </c>
      <c r="D118" s="35" t="s">
        <v>284</v>
      </c>
    </row>
    <row r="119" spans="1:4" hidden="1" x14ac:dyDescent="0.25">
      <c r="A119" s="35" t="s">
        <v>313</v>
      </c>
      <c r="B119" s="78">
        <v>1</v>
      </c>
      <c r="C119" s="75" t="s">
        <v>314</v>
      </c>
      <c r="D119" s="35" t="s">
        <v>284</v>
      </c>
    </row>
    <row r="120" spans="1:4" hidden="1" x14ac:dyDescent="0.25">
      <c r="A120" s="35" t="s">
        <v>313</v>
      </c>
      <c r="B120" s="78">
        <v>1</v>
      </c>
      <c r="C120" s="75" t="s">
        <v>315</v>
      </c>
      <c r="D120" s="35" t="s">
        <v>284</v>
      </c>
    </row>
    <row r="121" spans="1:4" hidden="1" x14ac:dyDescent="0.25">
      <c r="A121" s="35" t="s">
        <v>313</v>
      </c>
      <c r="B121" s="78">
        <v>1</v>
      </c>
      <c r="C121" s="75" t="s">
        <v>316</v>
      </c>
      <c r="D121" s="35" t="s">
        <v>284</v>
      </c>
    </row>
    <row r="122" spans="1:4" hidden="1" x14ac:dyDescent="0.25">
      <c r="A122" s="35" t="s">
        <v>313</v>
      </c>
      <c r="B122" s="78">
        <v>1</v>
      </c>
      <c r="C122" s="75" t="s">
        <v>317</v>
      </c>
      <c r="D122" s="35" t="s">
        <v>284</v>
      </c>
    </row>
    <row r="123" spans="1:4" hidden="1" x14ac:dyDescent="0.25">
      <c r="A123" s="35" t="s">
        <v>319</v>
      </c>
      <c r="B123" s="78">
        <v>1</v>
      </c>
      <c r="C123" s="75" t="s">
        <v>318</v>
      </c>
      <c r="D123" s="35" t="s">
        <v>284</v>
      </c>
    </row>
    <row r="124" spans="1:4" hidden="1" x14ac:dyDescent="0.25">
      <c r="A124" s="35" t="s">
        <v>324</v>
      </c>
      <c r="B124" s="78">
        <v>1.1000000000000001</v>
      </c>
      <c r="C124" s="75" t="s">
        <v>321</v>
      </c>
      <c r="D124" s="35" t="s">
        <v>115</v>
      </c>
    </row>
    <row r="125" spans="1:4" hidden="1" x14ac:dyDescent="0.25">
      <c r="A125" s="35" t="s">
        <v>324</v>
      </c>
      <c r="B125" s="78">
        <v>1.1000000000000001</v>
      </c>
      <c r="C125" s="75" t="s">
        <v>322</v>
      </c>
      <c r="D125" s="35" t="s">
        <v>115</v>
      </c>
    </row>
    <row r="126" spans="1:4" hidden="1" x14ac:dyDescent="0.25">
      <c r="A126" s="35" t="s">
        <v>324</v>
      </c>
      <c r="B126" s="78">
        <v>1.1000000000000001</v>
      </c>
      <c r="C126" s="75" t="s">
        <v>323</v>
      </c>
      <c r="D126" s="35" t="s">
        <v>115</v>
      </c>
    </row>
    <row r="127" spans="1:4" hidden="1" x14ac:dyDescent="0.25">
      <c r="A127" s="35" t="s">
        <v>324</v>
      </c>
      <c r="B127" s="78">
        <v>1.1000000000000001</v>
      </c>
      <c r="C127" s="86" t="s">
        <v>325</v>
      </c>
      <c r="D127" s="35" t="s">
        <v>115</v>
      </c>
    </row>
    <row r="128" spans="1:4" ht="29.25" hidden="1" customHeight="1" x14ac:dyDescent="0.25">
      <c r="A128" s="35" t="s">
        <v>324</v>
      </c>
      <c r="B128" s="78">
        <v>1.1000000000000001</v>
      </c>
      <c r="C128" s="86" t="s">
        <v>326</v>
      </c>
      <c r="D128" s="35" t="s">
        <v>115</v>
      </c>
    </row>
    <row r="129" spans="1:4" ht="33.75" hidden="1" customHeight="1" x14ac:dyDescent="0.25">
      <c r="A129" s="35" t="s">
        <v>324</v>
      </c>
      <c r="B129" s="78">
        <v>1.1000000000000001</v>
      </c>
      <c r="C129" s="86" t="s">
        <v>327</v>
      </c>
      <c r="D129" s="35" t="s">
        <v>115</v>
      </c>
    </row>
    <row r="130" spans="1:4" hidden="1" x14ac:dyDescent="0.25">
      <c r="A130" s="35" t="s">
        <v>329</v>
      </c>
      <c r="B130" s="78">
        <v>1.2</v>
      </c>
      <c r="C130" s="75" t="s">
        <v>328</v>
      </c>
      <c r="D130" s="35" t="s">
        <v>115</v>
      </c>
    </row>
    <row r="131" spans="1:4" hidden="1" x14ac:dyDescent="0.25">
      <c r="A131" s="35" t="s">
        <v>329</v>
      </c>
      <c r="B131" s="78">
        <v>1.2</v>
      </c>
      <c r="C131" s="75" t="s">
        <v>330</v>
      </c>
      <c r="D131" s="35" t="s">
        <v>115</v>
      </c>
    </row>
    <row r="132" spans="1:4" hidden="1" x14ac:dyDescent="0.25">
      <c r="A132" s="35" t="s">
        <v>385</v>
      </c>
      <c r="B132" s="78">
        <v>1.1000000000000001</v>
      </c>
      <c r="C132" s="75" t="s">
        <v>384</v>
      </c>
      <c r="D132" s="35" t="s">
        <v>115</v>
      </c>
    </row>
    <row r="133" spans="1:4" hidden="1" x14ac:dyDescent="0.25">
      <c r="A133" s="35" t="s">
        <v>386</v>
      </c>
      <c r="B133" s="78">
        <v>1.1000000000000001</v>
      </c>
      <c r="C133" s="75" t="s">
        <v>387</v>
      </c>
      <c r="D133" s="35" t="s">
        <v>115</v>
      </c>
    </row>
    <row r="134" spans="1:4" hidden="1" x14ac:dyDescent="0.25">
      <c r="A134" s="35" t="s">
        <v>404</v>
      </c>
      <c r="B134" s="78">
        <v>2</v>
      </c>
      <c r="C134" s="75" t="s">
        <v>405</v>
      </c>
      <c r="D134" s="35" t="s">
        <v>115</v>
      </c>
    </row>
    <row r="135" spans="1:4" hidden="1" x14ac:dyDescent="0.25">
      <c r="A135" s="35" t="s">
        <v>404</v>
      </c>
      <c r="B135" s="78">
        <v>2</v>
      </c>
      <c r="C135" s="75" t="s">
        <v>406</v>
      </c>
      <c r="D135" s="35" t="s">
        <v>115</v>
      </c>
    </row>
    <row r="136" spans="1:4" hidden="1" x14ac:dyDescent="0.25">
      <c r="A136" s="35" t="s">
        <v>404</v>
      </c>
      <c r="B136" s="78">
        <v>2</v>
      </c>
      <c r="C136" s="75" t="s">
        <v>407</v>
      </c>
      <c r="D136" s="35" t="s">
        <v>115</v>
      </c>
    </row>
    <row r="137" spans="1:4" ht="30" hidden="1" x14ac:dyDescent="0.25">
      <c r="A137" s="35" t="s">
        <v>420</v>
      </c>
      <c r="B137" s="78">
        <v>1</v>
      </c>
      <c r="C137" s="86" t="s">
        <v>417</v>
      </c>
      <c r="D137" s="35" t="s">
        <v>115</v>
      </c>
    </row>
    <row r="138" spans="1:4" hidden="1" x14ac:dyDescent="0.25">
      <c r="A138" s="35" t="s">
        <v>420</v>
      </c>
      <c r="B138" s="78">
        <v>1</v>
      </c>
      <c r="C138" s="75" t="s">
        <v>413</v>
      </c>
      <c r="D138" s="35" t="s">
        <v>115</v>
      </c>
    </row>
    <row r="139" spans="1:4" hidden="1" x14ac:dyDescent="0.25">
      <c r="A139" s="35" t="s">
        <v>420</v>
      </c>
      <c r="B139" s="78">
        <v>1</v>
      </c>
      <c r="C139" s="75" t="s">
        <v>414</v>
      </c>
      <c r="D139" s="35" t="s">
        <v>115</v>
      </c>
    </row>
    <row r="140" spans="1:4" hidden="1" x14ac:dyDescent="0.25">
      <c r="A140" s="35" t="s">
        <v>420</v>
      </c>
      <c r="B140" s="78">
        <v>1</v>
      </c>
      <c r="C140" s="75" t="s">
        <v>415</v>
      </c>
      <c r="D140" s="35" t="s">
        <v>115</v>
      </c>
    </row>
    <row r="141" spans="1:4" hidden="1" x14ac:dyDescent="0.25">
      <c r="A141" s="35" t="s">
        <v>420</v>
      </c>
      <c r="B141" s="78">
        <v>1</v>
      </c>
      <c r="C141" s="75" t="s">
        <v>416</v>
      </c>
      <c r="D141" s="35" t="s">
        <v>115</v>
      </c>
    </row>
    <row r="142" spans="1:4" hidden="1" x14ac:dyDescent="0.25">
      <c r="A142" s="35" t="s">
        <v>420</v>
      </c>
      <c r="B142" s="78">
        <v>1</v>
      </c>
      <c r="C142" s="75" t="s">
        <v>418</v>
      </c>
      <c r="D142" s="35" t="s">
        <v>115</v>
      </c>
    </row>
    <row r="143" spans="1:4" hidden="1" x14ac:dyDescent="0.25">
      <c r="A143" s="35" t="s">
        <v>420</v>
      </c>
      <c r="B143" s="78">
        <v>1</v>
      </c>
      <c r="C143" s="75" t="s">
        <v>419</v>
      </c>
      <c r="D143" s="35" t="s">
        <v>115</v>
      </c>
    </row>
    <row r="144" spans="1:4" hidden="1" x14ac:dyDescent="0.25">
      <c r="A144" s="35" t="s">
        <v>424</v>
      </c>
      <c r="B144" s="78" t="s">
        <v>423</v>
      </c>
      <c r="C144" s="75" t="s">
        <v>425</v>
      </c>
      <c r="D144" s="35" t="s">
        <v>230</v>
      </c>
    </row>
    <row r="145" spans="1:4" hidden="1" x14ac:dyDescent="0.25">
      <c r="A145" s="35" t="s">
        <v>442</v>
      </c>
      <c r="B145" s="78" t="s">
        <v>443</v>
      </c>
      <c r="C145" s="75" t="s">
        <v>444</v>
      </c>
      <c r="D145" s="35" t="s">
        <v>115</v>
      </c>
    </row>
    <row r="146" spans="1:4" hidden="1" x14ac:dyDescent="0.25">
      <c r="A146" s="35" t="s">
        <v>442</v>
      </c>
      <c r="B146" s="78" t="s">
        <v>443</v>
      </c>
      <c r="C146" s="75" t="s">
        <v>445</v>
      </c>
      <c r="D146" s="35" t="s">
        <v>115</v>
      </c>
    </row>
    <row r="147" spans="1:4" hidden="1" x14ac:dyDescent="0.25">
      <c r="A147" s="35" t="s">
        <v>442</v>
      </c>
      <c r="B147" s="78" t="s">
        <v>443</v>
      </c>
      <c r="C147" s="75" t="s">
        <v>446</v>
      </c>
      <c r="D147" s="35" t="s">
        <v>115</v>
      </c>
    </row>
    <row r="148" spans="1:4" hidden="1" x14ac:dyDescent="0.25">
      <c r="A148" s="35" t="s">
        <v>439</v>
      </c>
      <c r="B148" s="78" t="s">
        <v>447</v>
      </c>
      <c r="C148" s="75" t="s">
        <v>428</v>
      </c>
      <c r="D148" s="35" t="s">
        <v>429</v>
      </c>
    </row>
    <row r="149" spans="1:4" hidden="1" x14ac:dyDescent="0.25">
      <c r="A149" s="35" t="s">
        <v>439</v>
      </c>
      <c r="B149" s="78" t="s">
        <v>447</v>
      </c>
      <c r="C149" s="75" t="s">
        <v>430</v>
      </c>
      <c r="D149" s="35" t="s">
        <v>429</v>
      </c>
    </row>
    <row r="150" spans="1:4" hidden="1" x14ac:dyDescent="0.25">
      <c r="A150" s="35" t="s">
        <v>439</v>
      </c>
      <c r="B150" s="78" t="s">
        <v>447</v>
      </c>
      <c r="C150" s="75" t="s">
        <v>431</v>
      </c>
      <c r="D150" s="35" t="s">
        <v>429</v>
      </c>
    </row>
    <row r="151" spans="1:4" hidden="1" x14ac:dyDescent="0.25">
      <c r="A151" s="35" t="s">
        <v>439</v>
      </c>
      <c r="B151" s="78" t="s">
        <v>447</v>
      </c>
      <c r="C151" s="75" t="s">
        <v>432</v>
      </c>
      <c r="D151" s="35" t="s">
        <v>429</v>
      </c>
    </row>
    <row r="152" spans="1:4" hidden="1" x14ac:dyDescent="0.25">
      <c r="A152" s="35" t="s">
        <v>439</v>
      </c>
      <c r="B152" s="78" t="s">
        <v>447</v>
      </c>
      <c r="C152" s="75" t="s">
        <v>433</v>
      </c>
      <c r="D152" s="35" t="s">
        <v>429</v>
      </c>
    </row>
    <row r="153" spans="1:4" hidden="1" x14ac:dyDescent="0.25">
      <c r="A153" s="35" t="s">
        <v>439</v>
      </c>
      <c r="B153" s="78" t="s">
        <v>447</v>
      </c>
      <c r="C153" s="75" t="s">
        <v>434</v>
      </c>
      <c r="D153" s="35" t="s">
        <v>429</v>
      </c>
    </row>
    <row r="154" spans="1:4" hidden="1" x14ac:dyDescent="0.25">
      <c r="A154" s="35" t="s">
        <v>439</v>
      </c>
      <c r="B154" s="78" t="s">
        <v>447</v>
      </c>
      <c r="C154" s="75" t="s">
        <v>435</v>
      </c>
      <c r="D154" s="35" t="s">
        <v>429</v>
      </c>
    </row>
    <row r="155" spans="1:4" hidden="1" x14ac:dyDescent="0.25">
      <c r="A155" s="35" t="s">
        <v>439</v>
      </c>
      <c r="B155" s="78" t="s">
        <v>447</v>
      </c>
      <c r="C155" s="75" t="s">
        <v>436</v>
      </c>
      <c r="D155" s="35" t="s">
        <v>429</v>
      </c>
    </row>
    <row r="156" spans="1:4" hidden="1" x14ac:dyDescent="0.25">
      <c r="A156" s="35" t="s">
        <v>439</v>
      </c>
      <c r="B156" s="78" t="s">
        <v>447</v>
      </c>
      <c r="C156" s="75" t="s">
        <v>437</v>
      </c>
      <c r="D156" s="35" t="s">
        <v>429</v>
      </c>
    </row>
    <row r="157" spans="1:4" hidden="1" x14ac:dyDescent="0.25">
      <c r="A157" s="35" t="s">
        <v>439</v>
      </c>
      <c r="B157" s="78" t="s">
        <v>447</v>
      </c>
      <c r="C157" s="75" t="s">
        <v>438</v>
      </c>
      <c r="D157" s="35" t="s">
        <v>429</v>
      </c>
    </row>
    <row r="158" spans="1:4" hidden="1" x14ac:dyDescent="0.25">
      <c r="A158" s="35" t="s">
        <v>439</v>
      </c>
      <c r="B158" s="78" t="s">
        <v>447</v>
      </c>
      <c r="C158" s="75" t="s">
        <v>440</v>
      </c>
      <c r="D158" s="35" t="s">
        <v>429</v>
      </c>
    </row>
    <row r="159" spans="1:4" hidden="1" x14ac:dyDescent="0.25">
      <c r="A159" s="35" t="s">
        <v>439</v>
      </c>
      <c r="B159" s="78" t="s">
        <v>447</v>
      </c>
      <c r="C159" s="75" t="s">
        <v>441</v>
      </c>
      <c r="D159" s="35" t="s">
        <v>429</v>
      </c>
    </row>
    <row r="160" spans="1:4" hidden="1" x14ac:dyDescent="0.25">
      <c r="A160" s="35" t="s">
        <v>449</v>
      </c>
      <c r="B160" s="78" t="s">
        <v>447</v>
      </c>
      <c r="C160" s="75" t="s">
        <v>448</v>
      </c>
      <c r="D160" s="35" t="s">
        <v>429</v>
      </c>
    </row>
    <row r="161" spans="1:4" hidden="1" x14ac:dyDescent="0.25">
      <c r="A161" s="35" t="s">
        <v>450</v>
      </c>
      <c r="B161" s="78" t="s">
        <v>451</v>
      </c>
      <c r="C161" s="75" t="s">
        <v>452</v>
      </c>
      <c r="D161" s="35" t="s">
        <v>230</v>
      </c>
    </row>
    <row r="162" spans="1:4" hidden="1" x14ac:dyDescent="0.25">
      <c r="A162" s="35" t="s">
        <v>453</v>
      </c>
      <c r="B162" s="78">
        <v>1</v>
      </c>
      <c r="C162" s="75" t="s">
        <v>454</v>
      </c>
      <c r="D162" s="35" t="s">
        <v>429</v>
      </c>
    </row>
    <row r="163" spans="1:4" hidden="1" x14ac:dyDescent="0.25">
      <c r="A163" s="35" t="s">
        <v>468</v>
      </c>
      <c r="B163" s="78" t="s">
        <v>464</v>
      </c>
      <c r="C163" s="75" t="s">
        <v>465</v>
      </c>
      <c r="D163" s="35" t="s">
        <v>115</v>
      </c>
    </row>
    <row r="164" spans="1:4" hidden="1" x14ac:dyDescent="0.25">
      <c r="A164" s="35" t="s">
        <v>468</v>
      </c>
      <c r="B164" s="78" t="s">
        <v>464</v>
      </c>
      <c r="C164" s="75" t="s">
        <v>466</v>
      </c>
      <c r="D164" s="35" t="s">
        <v>115</v>
      </c>
    </row>
    <row r="165" spans="1:4" hidden="1" x14ac:dyDescent="0.25">
      <c r="A165" s="35" t="s">
        <v>468</v>
      </c>
      <c r="B165" s="78" t="s">
        <v>464</v>
      </c>
      <c r="C165" s="75" t="s">
        <v>467</v>
      </c>
      <c r="D165" s="35" t="s">
        <v>115</v>
      </c>
    </row>
    <row r="166" spans="1:4" hidden="1" x14ac:dyDescent="0.25">
      <c r="A166" s="35" t="s">
        <v>472</v>
      </c>
      <c r="B166" s="78" t="s">
        <v>464</v>
      </c>
      <c r="C166" s="75" t="s">
        <v>473</v>
      </c>
      <c r="D166" s="35" t="s">
        <v>474</v>
      </c>
    </row>
    <row r="167" spans="1:4" hidden="1" x14ac:dyDescent="0.25">
      <c r="A167" s="35" t="s">
        <v>476</v>
      </c>
      <c r="B167" s="78" t="s">
        <v>464</v>
      </c>
      <c r="C167" s="75" t="s">
        <v>475</v>
      </c>
      <c r="D167" s="35" t="s">
        <v>230</v>
      </c>
    </row>
    <row r="168" spans="1:4" hidden="1" x14ac:dyDescent="0.25">
      <c r="A168" s="35" t="s">
        <v>477</v>
      </c>
      <c r="B168" s="78" t="s">
        <v>478</v>
      </c>
      <c r="C168" s="75" t="s">
        <v>479</v>
      </c>
      <c r="D168" s="35" t="s">
        <v>230</v>
      </c>
    </row>
    <row r="169" spans="1:4" x14ac:dyDescent="0.25">
      <c r="A169" s="35" t="s">
        <v>534</v>
      </c>
      <c r="B169" s="78" t="s">
        <v>565</v>
      </c>
      <c r="C169" s="75" t="s">
        <v>535</v>
      </c>
      <c r="D169" s="35" t="s">
        <v>616</v>
      </c>
    </row>
    <row r="170" spans="1:4" x14ac:dyDescent="0.25">
      <c r="A170" s="35" t="s">
        <v>534</v>
      </c>
      <c r="B170" s="78" t="s">
        <v>565</v>
      </c>
      <c r="C170" s="75" t="s">
        <v>540</v>
      </c>
      <c r="D170" s="35" t="s">
        <v>616</v>
      </c>
    </row>
    <row r="171" spans="1:4" x14ac:dyDescent="0.25">
      <c r="A171" s="35" t="s">
        <v>557</v>
      </c>
      <c r="B171" s="78" t="s">
        <v>566</v>
      </c>
      <c r="C171" s="75" t="s">
        <v>558</v>
      </c>
      <c r="D171" s="35" t="s">
        <v>616</v>
      </c>
    </row>
    <row r="172" spans="1:4" x14ac:dyDescent="0.25">
      <c r="A172" s="35" t="s">
        <v>557</v>
      </c>
      <c r="B172" s="78" t="s">
        <v>566</v>
      </c>
      <c r="C172" s="75" t="s">
        <v>559</v>
      </c>
      <c r="D172" s="35" t="s">
        <v>616</v>
      </c>
    </row>
    <row r="173" spans="1:4" x14ac:dyDescent="0.25">
      <c r="A173" s="35" t="s">
        <v>561</v>
      </c>
      <c r="B173" s="78" t="s">
        <v>567</v>
      </c>
      <c r="C173" s="75" t="s">
        <v>562</v>
      </c>
      <c r="D173" s="35" t="s">
        <v>616</v>
      </c>
    </row>
    <row r="174" spans="1:4" x14ac:dyDescent="0.25">
      <c r="A174" s="35" t="s">
        <v>564</v>
      </c>
      <c r="B174" s="78" t="s">
        <v>568</v>
      </c>
      <c r="C174" s="75" t="s">
        <v>563</v>
      </c>
      <c r="D174" s="35" t="s">
        <v>616</v>
      </c>
    </row>
    <row r="175" spans="1:4" x14ac:dyDescent="0.25">
      <c r="A175" s="35" t="s">
        <v>569</v>
      </c>
      <c r="B175" s="78" t="s">
        <v>570</v>
      </c>
      <c r="C175" s="75" t="s">
        <v>571</v>
      </c>
      <c r="D175" s="35" t="s">
        <v>474</v>
      </c>
    </row>
    <row r="176" spans="1:4" x14ac:dyDescent="0.25">
      <c r="A176" s="35" t="s">
        <v>569</v>
      </c>
      <c r="B176" s="78" t="s">
        <v>570</v>
      </c>
      <c r="C176" s="75" t="s">
        <v>575</v>
      </c>
      <c r="D176" s="35" t="s">
        <v>474</v>
      </c>
    </row>
    <row r="177" spans="1:4" x14ac:dyDescent="0.25">
      <c r="A177" s="35" t="s">
        <v>569</v>
      </c>
      <c r="B177" s="78" t="s">
        <v>570</v>
      </c>
      <c r="C177" s="75" t="s">
        <v>576</v>
      </c>
      <c r="D177" s="35" t="s">
        <v>474</v>
      </c>
    </row>
    <row r="178" spans="1:4" x14ac:dyDescent="0.25">
      <c r="A178" s="35" t="s">
        <v>577</v>
      </c>
      <c r="B178" s="78" t="s">
        <v>578</v>
      </c>
      <c r="C178" s="75" t="s">
        <v>579</v>
      </c>
      <c r="D178" s="35" t="s">
        <v>474</v>
      </c>
    </row>
    <row r="179" spans="1:4" x14ac:dyDescent="0.25">
      <c r="A179" s="35" t="s">
        <v>569</v>
      </c>
      <c r="B179" s="78" t="s">
        <v>578</v>
      </c>
      <c r="C179" s="75" t="s">
        <v>580</v>
      </c>
      <c r="D179" s="35" t="s">
        <v>474</v>
      </c>
    </row>
    <row r="180" spans="1:4" x14ac:dyDescent="0.25">
      <c r="A180" s="35" t="s">
        <v>569</v>
      </c>
      <c r="B180" s="78" t="s">
        <v>582</v>
      </c>
      <c r="C180" s="75" t="s">
        <v>585</v>
      </c>
      <c r="D180" s="35" t="s">
        <v>474</v>
      </c>
    </row>
    <row r="181" spans="1:4" x14ac:dyDescent="0.25">
      <c r="A181" s="35" t="s">
        <v>569</v>
      </c>
      <c r="B181" s="78" t="s">
        <v>582</v>
      </c>
      <c r="C181" s="75" t="s">
        <v>583</v>
      </c>
      <c r="D181" s="35" t="s">
        <v>474</v>
      </c>
    </row>
    <row r="182" spans="1:4" x14ac:dyDescent="0.25">
      <c r="A182" s="35" t="s">
        <v>586</v>
      </c>
      <c r="B182" s="78" t="s">
        <v>587</v>
      </c>
      <c r="C182" s="75" t="s">
        <v>588</v>
      </c>
      <c r="D182" s="35" t="s">
        <v>136</v>
      </c>
    </row>
    <row r="183" spans="1:4" x14ac:dyDescent="0.25">
      <c r="A183" s="35" t="s">
        <v>586</v>
      </c>
      <c r="B183" s="78" t="s">
        <v>587</v>
      </c>
      <c r="C183" s="75" t="s">
        <v>592</v>
      </c>
      <c r="D183" s="35" t="s">
        <v>136</v>
      </c>
    </row>
    <row r="184" spans="1:4" x14ac:dyDescent="0.25">
      <c r="A184" s="35" t="s">
        <v>589</v>
      </c>
      <c r="B184" s="78" t="s">
        <v>590</v>
      </c>
      <c r="C184" s="75" t="s">
        <v>591</v>
      </c>
      <c r="D184" s="35" t="s">
        <v>474</v>
      </c>
    </row>
    <row r="185" spans="1:4" x14ac:dyDescent="0.25">
      <c r="A185" s="35" t="s">
        <v>593</v>
      </c>
      <c r="B185" s="78" t="s">
        <v>590</v>
      </c>
      <c r="C185" s="75" t="s">
        <v>594</v>
      </c>
      <c r="D185" s="35" t="s">
        <v>136</v>
      </c>
    </row>
    <row r="186" spans="1:4" x14ac:dyDescent="0.25">
      <c r="A186" s="35" t="s">
        <v>593</v>
      </c>
      <c r="B186" s="78" t="s">
        <v>595</v>
      </c>
      <c r="C186" s="75" t="s">
        <v>596</v>
      </c>
      <c r="D186" s="35" t="s">
        <v>474</v>
      </c>
    </row>
    <row r="187" spans="1:4" x14ac:dyDescent="0.25">
      <c r="A187" s="35" t="s">
        <v>597</v>
      </c>
      <c r="B187" s="78" t="s">
        <v>595</v>
      </c>
      <c r="C187" s="75" t="s">
        <v>598</v>
      </c>
      <c r="D187" s="35" t="s">
        <v>474</v>
      </c>
    </row>
    <row r="188" spans="1:4" x14ac:dyDescent="0.25">
      <c r="B188" s="78"/>
    </row>
    <row r="189" spans="1:4" x14ac:dyDescent="0.25">
      <c r="A189" s="35" t="s">
        <v>599</v>
      </c>
      <c r="B189" s="78" t="s">
        <v>600</v>
      </c>
      <c r="C189" s="86" t="s">
        <v>601</v>
      </c>
      <c r="D189" s="35" t="s">
        <v>474</v>
      </c>
    </row>
    <row r="190" spans="1:4" x14ac:dyDescent="0.25">
      <c r="A190" s="35" t="s">
        <v>610</v>
      </c>
      <c r="B190" s="78" t="s">
        <v>614</v>
      </c>
      <c r="C190" s="86" t="s">
        <v>611</v>
      </c>
      <c r="D190" s="35" t="s">
        <v>115</v>
      </c>
    </row>
    <row r="191" spans="1:4" x14ac:dyDescent="0.25">
      <c r="A191" s="35" t="s">
        <v>610</v>
      </c>
      <c r="B191" s="78" t="s">
        <v>614</v>
      </c>
      <c r="C191" s="86" t="s">
        <v>612</v>
      </c>
      <c r="D191" s="35" t="s">
        <v>115</v>
      </c>
    </row>
    <row r="192" spans="1:4" x14ac:dyDescent="0.25">
      <c r="A192" s="35" t="s">
        <v>610</v>
      </c>
      <c r="B192" s="78" t="s">
        <v>614</v>
      </c>
      <c r="C192" s="86" t="s">
        <v>613</v>
      </c>
      <c r="D192" s="35" t="s">
        <v>115</v>
      </c>
    </row>
    <row r="193" spans="1:4" x14ac:dyDescent="0.25">
      <c r="A193" s="35" t="s">
        <v>630</v>
      </c>
      <c r="B193" s="78" t="s">
        <v>615</v>
      </c>
      <c r="C193" s="86" t="s">
        <v>631</v>
      </c>
      <c r="D193" s="35" t="s">
        <v>632</v>
      </c>
    </row>
    <row r="194" spans="1:4" x14ac:dyDescent="0.25">
      <c r="A194" s="35" t="s">
        <v>630</v>
      </c>
      <c r="B194" s="78" t="s">
        <v>615</v>
      </c>
      <c r="C194" s="86" t="s">
        <v>633</v>
      </c>
      <c r="D194" s="35" t="s">
        <v>632</v>
      </c>
    </row>
    <row r="195" spans="1:4" x14ac:dyDescent="0.25">
      <c r="A195" s="35" t="s">
        <v>630</v>
      </c>
      <c r="B195" s="78" t="s">
        <v>615</v>
      </c>
      <c r="C195" s="86" t="s">
        <v>634</v>
      </c>
      <c r="D195" s="35" t="s">
        <v>632</v>
      </c>
    </row>
    <row r="196" spans="1:4" ht="30" x14ac:dyDescent="0.25">
      <c r="A196" s="35" t="s">
        <v>630</v>
      </c>
      <c r="B196" s="78" t="s">
        <v>615</v>
      </c>
      <c r="C196" s="86" t="s">
        <v>643</v>
      </c>
      <c r="D196" s="35" t="s">
        <v>632</v>
      </c>
    </row>
    <row r="197" spans="1:4" x14ac:dyDescent="0.25">
      <c r="A197" s="35" t="s">
        <v>635</v>
      </c>
      <c r="B197" s="78" t="s">
        <v>636</v>
      </c>
      <c r="C197" s="86" t="s">
        <v>637</v>
      </c>
      <c r="D197" s="35" t="s">
        <v>474</v>
      </c>
    </row>
    <row r="198" spans="1:4" x14ac:dyDescent="0.25">
      <c r="A198" s="35" t="s">
        <v>638</v>
      </c>
      <c r="B198" s="78" t="s">
        <v>636</v>
      </c>
      <c r="C198" s="86" t="s">
        <v>644</v>
      </c>
      <c r="D198" s="35" t="s">
        <v>632</v>
      </c>
    </row>
    <row r="199" spans="1:4" x14ac:dyDescent="0.25">
      <c r="A199" s="35" t="s">
        <v>640</v>
      </c>
      <c r="B199" s="78" t="s">
        <v>636</v>
      </c>
      <c r="C199" s="86" t="s">
        <v>645</v>
      </c>
      <c r="D199" s="35" t="s">
        <v>632</v>
      </c>
    </row>
    <row r="200" spans="1:4" x14ac:dyDescent="0.25">
      <c r="A200" s="35" t="s">
        <v>640</v>
      </c>
      <c r="B200" s="78" t="s">
        <v>639</v>
      </c>
      <c r="C200" s="86" t="s">
        <v>646</v>
      </c>
      <c r="D200" s="35" t="s">
        <v>616</v>
      </c>
    </row>
    <row r="201" spans="1:4" ht="30" x14ac:dyDescent="0.25">
      <c r="A201" s="35" t="s">
        <v>640</v>
      </c>
      <c r="B201" s="78" t="s">
        <v>639</v>
      </c>
      <c r="C201" s="86" t="s">
        <v>628</v>
      </c>
      <c r="D201" s="35" t="s">
        <v>616</v>
      </c>
    </row>
    <row r="202" spans="1:4" x14ac:dyDescent="0.25">
      <c r="A202" s="35" t="s">
        <v>640</v>
      </c>
      <c r="B202" s="78" t="s">
        <v>639</v>
      </c>
      <c r="C202" s="86" t="s">
        <v>642</v>
      </c>
      <c r="D202" s="35" t="s">
        <v>616</v>
      </c>
    </row>
    <row r="203" spans="1:4" ht="30" x14ac:dyDescent="0.25">
      <c r="A203" s="35" t="s">
        <v>640</v>
      </c>
      <c r="B203" s="78" t="s">
        <v>639</v>
      </c>
      <c r="C203" s="86" t="s">
        <v>648</v>
      </c>
      <c r="D203" s="35" t="s">
        <v>616</v>
      </c>
    </row>
    <row r="204" spans="1:4" ht="30" x14ac:dyDescent="0.25">
      <c r="A204" s="35" t="s">
        <v>640</v>
      </c>
      <c r="B204" s="78" t="s">
        <v>639</v>
      </c>
      <c r="C204" s="86" t="s">
        <v>647</v>
      </c>
      <c r="D204" s="35" t="s">
        <v>616</v>
      </c>
    </row>
    <row r="205" spans="1:4" ht="30" x14ac:dyDescent="0.25">
      <c r="A205" s="35" t="s">
        <v>640</v>
      </c>
      <c r="B205" s="78" t="s">
        <v>639</v>
      </c>
      <c r="C205" s="88" t="s">
        <v>656</v>
      </c>
      <c r="D205" s="35" t="s">
        <v>616</v>
      </c>
    </row>
    <row r="206" spans="1:4" x14ac:dyDescent="0.25">
      <c r="A206" s="35" t="s">
        <v>651</v>
      </c>
      <c r="B206" s="78" t="s">
        <v>649</v>
      </c>
      <c r="C206" s="75" t="s">
        <v>652</v>
      </c>
      <c r="D206" s="35" t="s">
        <v>115</v>
      </c>
    </row>
    <row r="207" spans="1:4" x14ac:dyDescent="0.25">
      <c r="A207" s="35" t="s">
        <v>651</v>
      </c>
      <c r="B207" s="78" t="s">
        <v>649</v>
      </c>
      <c r="C207" s="75" t="s">
        <v>653</v>
      </c>
      <c r="D207" s="35" t="s">
        <v>115</v>
      </c>
    </row>
    <row r="208" spans="1:4" x14ac:dyDescent="0.25">
      <c r="A208" s="35" t="s">
        <v>651</v>
      </c>
      <c r="B208" s="78" t="s">
        <v>649</v>
      </c>
      <c r="C208" s="75" t="s">
        <v>654</v>
      </c>
      <c r="D208" s="35" t="s">
        <v>115</v>
      </c>
    </row>
    <row r="209" spans="1:4" x14ac:dyDescent="0.25">
      <c r="A209" s="35" t="s">
        <v>650</v>
      </c>
      <c r="B209" s="78" t="s">
        <v>649</v>
      </c>
      <c r="C209" s="75" t="s">
        <v>655</v>
      </c>
      <c r="D209" s="35" t="s">
        <v>616</v>
      </c>
    </row>
    <row r="210" spans="1:4" x14ac:dyDescent="0.25">
      <c r="A210" s="35" t="s">
        <v>658</v>
      </c>
      <c r="B210" s="78" t="s">
        <v>659</v>
      </c>
      <c r="C210" s="75" t="s">
        <v>660</v>
      </c>
      <c r="D210" s="35" t="s">
        <v>632</v>
      </c>
    </row>
    <row r="211" spans="1:4" x14ac:dyDescent="0.25">
      <c r="A211" s="35" t="s">
        <v>658</v>
      </c>
      <c r="B211" s="78" t="s">
        <v>659</v>
      </c>
      <c r="C211" s="75" t="s">
        <v>661</v>
      </c>
      <c r="D211" s="35" t="s">
        <v>632</v>
      </c>
    </row>
    <row r="212" spans="1:4" x14ac:dyDescent="0.25">
      <c r="A212" s="35" t="s">
        <v>658</v>
      </c>
      <c r="B212" s="78" t="s">
        <v>659</v>
      </c>
      <c r="C212" s="75" t="s">
        <v>662</v>
      </c>
      <c r="D212" s="35" t="s">
        <v>632</v>
      </c>
    </row>
    <row r="213" spans="1:4" x14ac:dyDescent="0.25">
      <c r="A213" s="35" t="s">
        <v>658</v>
      </c>
      <c r="B213" s="78" t="s">
        <v>659</v>
      </c>
      <c r="C213" s="75" t="s">
        <v>663</v>
      </c>
      <c r="D213" s="35" t="s">
        <v>632</v>
      </c>
    </row>
    <row r="214" spans="1:4" x14ac:dyDescent="0.25">
      <c r="A214" s="35" t="s">
        <v>658</v>
      </c>
      <c r="B214" s="78" t="s">
        <v>659</v>
      </c>
      <c r="C214" s="75" t="s">
        <v>664</v>
      </c>
      <c r="D214" s="35" t="s">
        <v>632</v>
      </c>
    </row>
    <row r="215" spans="1:4" x14ac:dyDescent="0.25">
      <c r="A215" s="35" t="s">
        <v>658</v>
      </c>
      <c r="B215" s="78" t="s">
        <v>659</v>
      </c>
      <c r="C215" s="86" t="s">
        <v>665</v>
      </c>
      <c r="D215" s="35" t="s">
        <v>632</v>
      </c>
    </row>
    <row r="216" spans="1:4" x14ac:dyDescent="0.25">
      <c r="A216" s="35" t="s">
        <v>666</v>
      </c>
      <c r="B216" s="35">
        <v>1.1000000000000001</v>
      </c>
      <c r="C216" s="75" t="s">
        <v>667</v>
      </c>
      <c r="D216" s="35" t="s">
        <v>632</v>
      </c>
    </row>
    <row r="217" spans="1:4" x14ac:dyDescent="0.25">
      <c r="A217" s="35" t="s">
        <v>668</v>
      </c>
      <c r="B217" s="35" t="s">
        <v>464</v>
      </c>
      <c r="C217" s="75" t="s">
        <v>671</v>
      </c>
      <c r="D217" s="35" t="s">
        <v>632</v>
      </c>
    </row>
    <row r="218" spans="1:4" x14ac:dyDescent="0.25">
      <c r="A218" s="35" t="s">
        <v>668</v>
      </c>
      <c r="B218" s="35" t="s">
        <v>464</v>
      </c>
      <c r="C218" s="75" t="s">
        <v>669</v>
      </c>
      <c r="D218" s="35" t="s">
        <v>632</v>
      </c>
    </row>
    <row r="219" spans="1:4" x14ac:dyDescent="0.25">
      <c r="A219" s="35" t="s">
        <v>668</v>
      </c>
      <c r="B219" s="35" t="s">
        <v>464</v>
      </c>
      <c r="C219" s="75" t="s">
        <v>670</v>
      </c>
      <c r="D219" s="35" t="s">
        <v>632</v>
      </c>
    </row>
    <row r="220" spans="1:4" x14ac:dyDescent="0.25">
      <c r="A220" s="35" t="s">
        <v>668</v>
      </c>
      <c r="B220" s="35" t="s">
        <v>672</v>
      </c>
      <c r="C220" s="75" t="s">
        <v>673</v>
      </c>
      <c r="D220" s="35" t="s">
        <v>632</v>
      </c>
    </row>
    <row r="221" spans="1:4" x14ac:dyDescent="0.25">
      <c r="A221" s="35" t="s">
        <v>680</v>
      </c>
      <c r="B221" s="35" t="s">
        <v>679</v>
      </c>
      <c r="C221" s="75" t="s">
        <v>678</v>
      </c>
      <c r="D221" s="35" t="s">
        <v>632</v>
      </c>
    </row>
    <row r="222" spans="1:4" x14ac:dyDescent="0.25">
      <c r="A222" s="35" t="s">
        <v>680</v>
      </c>
      <c r="B222" s="35" t="s">
        <v>679</v>
      </c>
      <c r="C222" s="75" t="s">
        <v>681</v>
      </c>
      <c r="D222" s="35" t="s">
        <v>632</v>
      </c>
    </row>
    <row r="223" spans="1:4" x14ac:dyDescent="0.25">
      <c r="A223" s="35" t="s">
        <v>680</v>
      </c>
      <c r="B223" s="35" t="s">
        <v>679</v>
      </c>
      <c r="C223" s="75" t="s">
        <v>682</v>
      </c>
      <c r="D223" s="35" t="s">
        <v>632</v>
      </c>
    </row>
    <row r="224" spans="1:4" x14ac:dyDescent="0.25">
      <c r="A224" s="35" t="s">
        <v>683</v>
      </c>
      <c r="B224" s="35" t="s">
        <v>684</v>
      </c>
      <c r="C224" s="75" t="s">
        <v>685</v>
      </c>
      <c r="D224" s="35" t="s">
        <v>632</v>
      </c>
    </row>
    <row r="225" spans="1:4" x14ac:dyDescent="0.25">
      <c r="A225" s="35" t="s">
        <v>683</v>
      </c>
      <c r="B225" s="35" t="s">
        <v>684</v>
      </c>
      <c r="C225" s="75" t="s">
        <v>686</v>
      </c>
      <c r="D225" s="35" t="s">
        <v>632</v>
      </c>
    </row>
    <row r="226" spans="1:4" x14ac:dyDescent="0.25">
      <c r="A226" s="35" t="s">
        <v>683</v>
      </c>
      <c r="B226" s="35" t="s">
        <v>684</v>
      </c>
      <c r="C226" s="75" t="s">
        <v>687</v>
      </c>
      <c r="D226" s="35" t="s">
        <v>632</v>
      </c>
    </row>
    <row r="227" spans="1:4" x14ac:dyDescent="0.25">
      <c r="A227" s="35" t="s">
        <v>683</v>
      </c>
      <c r="B227" s="35" t="s">
        <v>684</v>
      </c>
      <c r="C227" s="75" t="s">
        <v>688</v>
      </c>
      <c r="D227" s="35" t="s">
        <v>632</v>
      </c>
    </row>
    <row r="228" spans="1:4" x14ac:dyDescent="0.25">
      <c r="A228" s="35" t="s">
        <v>690</v>
      </c>
      <c r="B228" s="35" t="s">
        <v>691</v>
      </c>
      <c r="C228" s="75" t="s">
        <v>689</v>
      </c>
      <c r="D228" s="35" t="s">
        <v>632</v>
      </c>
    </row>
    <row r="229" spans="1:4" x14ac:dyDescent="0.25">
      <c r="A229" s="35" t="s">
        <v>690</v>
      </c>
      <c r="B229" s="35" t="s">
        <v>691</v>
      </c>
      <c r="C229" s="75" t="s">
        <v>692</v>
      </c>
      <c r="D229" s="35" t="s">
        <v>632</v>
      </c>
    </row>
    <row r="230" spans="1:4" x14ac:dyDescent="0.25">
      <c r="A230" s="35" t="s">
        <v>693</v>
      </c>
      <c r="B230" s="35" t="s">
        <v>694</v>
      </c>
      <c r="C230" s="75" t="s">
        <v>695</v>
      </c>
      <c r="D230" s="35" t="s">
        <v>474</v>
      </c>
    </row>
    <row r="232" spans="1:4" x14ac:dyDescent="0.25">
      <c r="A232" s="35" t="s">
        <v>698</v>
      </c>
      <c r="B232" s="35" t="s">
        <v>699</v>
      </c>
      <c r="C232" s="75" t="s">
        <v>700</v>
      </c>
      <c r="D232" s="35" t="s">
        <v>701</v>
      </c>
    </row>
    <row r="233" spans="1:4" x14ac:dyDescent="0.25">
      <c r="C233" s="75" t="s">
        <v>702</v>
      </c>
      <c r="D233" s="35" t="s">
        <v>701</v>
      </c>
    </row>
    <row r="234" spans="1:4" x14ac:dyDescent="0.25">
      <c r="C234" s="75" t="s">
        <v>703</v>
      </c>
      <c r="D234" s="35" t="s">
        <v>701</v>
      </c>
    </row>
    <row r="235" spans="1:4" x14ac:dyDescent="0.25">
      <c r="C235" s="75" t="s">
        <v>704</v>
      </c>
      <c r="D235" s="35" t="s">
        <v>701</v>
      </c>
    </row>
    <row r="236" spans="1:4" x14ac:dyDescent="0.25">
      <c r="C236" s="75" t="s">
        <v>705</v>
      </c>
      <c r="D236" s="35" t="s">
        <v>701</v>
      </c>
    </row>
    <row r="237" spans="1:4" x14ac:dyDescent="0.25">
      <c r="C237" s="75" t="s">
        <v>706</v>
      </c>
      <c r="D237" s="35" t="s">
        <v>701</v>
      </c>
    </row>
    <row r="238" spans="1:4" x14ac:dyDescent="0.25">
      <c r="C238" s="75" t="s">
        <v>707</v>
      </c>
      <c r="D238" s="35" t="s">
        <v>701</v>
      </c>
    </row>
    <row r="239" spans="1:4" x14ac:dyDescent="0.25">
      <c r="A239" s="35" t="s">
        <v>708</v>
      </c>
      <c r="B239" s="35" t="s">
        <v>709</v>
      </c>
      <c r="C239" s="75" t="s">
        <v>710</v>
      </c>
      <c r="D239" s="35" t="s">
        <v>701</v>
      </c>
    </row>
    <row r="240" spans="1:4" x14ac:dyDescent="0.25">
      <c r="C240" s="75" t="s">
        <v>711</v>
      </c>
      <c r="D240" s="35" t="s">
        <v>701</v>
      </c>
    </row>
    <row r="241" spans="1:4" x14ac:dyDescent="0.25">
      <c r="A241" s="35" t="s">
        <v>712</v>
      </c>
      <c r="B241" s="35" t="s">
        <v>714</v>
      </c>
      <c r="C241" s="75" t="s">
        <v>713</v>
      </c>
      <c r="D241" s="35" t="s">
        <v>474</v>
      </c>
    </row>
    <row r="242" spans="1:4" x14ac:dyDescent="0.25">
      <c r="A242" s="35" t="s">
        <v>712</v>
      </c>
      <c r="B242" s="35" t="s">
        <v>714</v>
      </c>
      <c r="C242" s="75" t="s">
        <v>715</v>
      </c>
      <c r="D242" s="35" t="s">
        <v>474</v>
      </c>
    </row>
    <row r="243" spans="1:4" x14ac:dyDescent="0.25">
      <c r="A243" s="35" t="s">
        <v>712</v>
      </c>
      <c r="B243" s="35" t="s">
        <v>714</v>
      </c>
      <c r="C243" s="75" t="s">
        <v>715</v>
      </c>
      <c r="D243" s="35" t="s">
        <v>474</v>
      </c>
    </row>
    <row r="244" spans="1:4" x14ac:dyDescent="0.25">
      <c r="A244" s="35" t="s">
        <v>712</v>
      </c>
      <c r="B244" s="35" t="s">
        <v>714</v>
      </c>
      <c r="C244" s="75" t="s">
        <v>719</v>
      </c>
      <c r="D244" s="35" t="s">
        <v>474</v>
      </c>
    </row>
    <row r="245" spans="1:4" x14ac:dyDescent="0.25">
      <c r="A245" s="35" t="s">
        <v>712</v>
      </c>
      <c r="B245" s="35" t="s">
        <v>714</v>
      </c>
      <c r="C245" s="75" t="s">
        <v>716</v>
      </c>
      <c r="D245" s="35" t="s">
        <v>474</v>
      </c>
    </row>
    <row r="246" spans="1:4" x14ac:dyDescent="0.25">
      <c r="A246" s="35" t="s">
        <v>712</v>
      </c>
      <c r="B246" s="35" t="s">
        <v>714</v>
      </c>
      <c r="C246" s="75" t="s">
        <v>717</v>
      </c>
      <c r="D246" s="35" t="s">
        <v>474</v>
      </c>
    </row>
    <row r="247" spans="1:4" x14ac:dyDescent="0.25">
      <c r="A247" s="35" t="s">
        <v>712</v>
      </c>
      <c r="B247" s="35" t="s">
        <v>714</v>
      </c>
      <c r="C247" s="75" t="s">
        <v>718</v>
      </c>
      <c r="D247" s="35" t="s">
        <v>474</v>
      </c>
    </row>
    <row r="248" spans="1:4" x14ac:dyDescent="0.25">
      <c r="A248" s="35" t="s">
        <v>712</v>
      </c>
      <c r="B248" s="35" t="s">
        <v>714</v>
      </c>
      <c r="C248" s="75" t="s">
        <v>725</v>
      </c>
      <c r="D248" s="35" t="s">
        <v>474</v>
      </c>
    </row>
    <row r="249" spans="1:4" x14ac:dyDescent="0.25">
      <c r="A249" s="35" t="s">
        <v>712</v>
      </c>
      <c r="B249" s="35" t="s">
        <v>714</v>
      </c>
      <c r="C249" s="75" t="s">
        <v>726</v>
      </c>
      <c r="D249" s="35" t="s">
        <v>474</v>
      </c>
    </row>
    <row r="250" spans="1:4" x14ac:dyDescent="0.25">
      <c r="A250" s="35" t="s">
        <v>712</v>
      </c>
      <c r="B250" s="35" t="s">
        <v>714</v>
      </c>
      <c r="C250" s="75" t="s">
        <v>727</v>
      </c>
      <c r="D250" s="35" t="s">
        <v>474</v>
      </c>
    </row>
    <row r="251" spans="1:4" x14ac:dyDescent="0.25">
      <c r="A251" s="35" t="s">
        <v>712</v>
      </c>
      <c r="B251" s="35" t="s">
        <v>714</v>
      </c>
      <c r="C251" s="75" t="s">
        <v>728</v>
      </c>
      <c r="D251" s="35" t="s">
        <v>474</v>
      </c>
    </row>
    <row r="252" spans="1:4" x14ac:dyDescent="0.25">
      <c r="A252" s="35" t="s">
        <v>712</v>
      </c>
      <c r="B252" s="35" t="s">
        <v>714</v>
      </c>
      <c r="C252" s="75" t="s">
        <v>729</v>
      </c>
      <c r="D252" s="35" t="s">
        <v>474</v>
      </c>
    </row>
    <row r="253" spans="1:4" x14ac:dyDescent="0.25">
      <c r="A253" s="35" t="s">
        <v>712</v>
      </c>
      <c r="B253" s="35" t="s">
        <v>714</v>
      </c>
      <c r="C253" s="75" t="s">
        <v>731</v>
      </c>
      <c r="D253" s="35" t="s">
        <v>474</v>
      </c>
    </row>
    <row r="254" spans="1:4" x14ac:dyDescent="0.25">
      <c r="A254" s="35" t="s">
        <v>712</v>
      </c>
      <c r="B254" s="35" t="s">
        <v>714</v>
      </c>
      <c r="C254" s="75" t="s">
        <v>734</v>
      </c>
      <c r="D254" s="35" t="s">
        <v>474</v>
      </c>
    </row>
    <row r="255" spans="1:4" x14ac:dyDescent="0.25">
      <c r="A255" s="35" t="s">
        <v>712</v>
      </c>
      <c r="B255" s="35" t="s">
        <v>714</v>
      </c>
      <c r="C255" s="75" t="s">
        <v>735</v>
      </c>
      <c r="D255" s="35" t="s">
        <v>474</v>
      </c>
    </row>
    <row r="256" spans="1:4" x14ac:dyDescent="0.25">
      <c r="A256" s="35" t="s">
        <v>736</v>
      </c>
      <c r="B256" s="35" t="s">
        <v>737</v>
      </c>
      <c r="C256" s="75" t="s">
        <v>738</v>
      </c>
      <c r="D256" s="35" t="s">
        <v>474</v>
      </c>
    </row>
    <row r="257" spans="1:4" x14ac:dyDescent="0.25">
      <c r="A257" s="35" t="s">
        <v>736</v>
      </c>
      <c r="B257" s="35" t="s">
        <v>737</v>
      </c>
      <c r="C257" s="75" t="s">
        <v>739</v>
      </c>
      <c r="D257" s="35" t="s">
        <v>474</v>
      </c>
    </row>
    <row r="258" spans="1:4" x14ac:dyDescent="0.25">
      <c r="A258" s="35" t="s">
        <v>744</v>
      </c>
      <c r="B258" s="35" t="s">
        <v>745</v>
      </c>
      <c r="C258" s="75" t="s">
        <v>752</v>
      </c>
      <c r="D258" s="35" t="s">
        <v>474</v>
      </c>
    </row>
    <row r="259" spans="1:4" x14ac:dyDescent="0.25">
      <c r="A259" s="35" t="s">
        <v>744</v>
      </c>
      <c r="B259" s="35" t="s">
        <v>745</v>
      </c>
      <c r="C259" s="75" t="s">
        <v>747</v>
      </c>
      <c r="D259" s="35" t="s">
        <v>474</v>
      </c>
    </row>
    <row r="260" spans="1:4" x14ac:dyDescent="0.25">
      <c r="A260" s="35" t="s">
        <v>744</v>
      </c>
      <c r="B260" s="35" t="s">
        <v>745</v>
      </c>
      <c r="C260" s="75" t="s">
        <v>746</v>
      </c>
      <c r="D260" s="35" t="s">
        <v>474</v>
      </c>
    </row>
    <row r="261" spans="1:4" x14ac:dyDescent="0.25">
      <c r="A261" s="35" t="s">
        <v>744</v>
      </c>
      <c r="B261" s="35" t="s">
        <v>745</v>
      </c>
      <c r="C261" s="75" t="s">
        <v>748</v>
      </c>
      <c r="D261" s="35" t="s">
        <v>474</v>
      </c>
    </row>
    <row r="262" spans="1:4" x14ac:dyDescent="0.25">
      <c r="A262" s="35" t="s">
        <v>744</v>
      </c>
      <c r="B262" s="35" t="s">
        <v>745</v>
      </c>
      <c r="C262" s="75" t="s">
        <v>749</v>
      </c>
      <c r="D262" s="35" t="s">
        <v>474</v>
      </c>
    </row>
    <row r="263" spans="1:4" x14ac:dyDescent="0.25">
      <c r="A263" s="35" t="s">
        <v>744</v>
      </c>
      <c r="B263" s="35" t="s">
        <v>745</v>
      </c>
      <c r="C263" s="75" t="s">
        <v>750</v>
      </c>
      <c r="D263" s="35" t="s">
        <v>474</v>
      </c>
    </row>
    <row r="264" spans="1:4" x14ac:dyDescent="0.25">
      <c r="A264" s="35" t="s">
        <v>744</v>
      </c>
      <c r="B264" s="35" t="s">
        <v>745</v>
      </c>
      <c r="C264" s="75" t="s">
        <v>751</v>
      </c>
      <c r="D264" s="35" t="s">
        <v>474</v>
      </c>
    </row>
    <row r="265" spans="1:4" x14ac:dyDescent="0.25">
      <c r="A265" s="35" t="s">
        <v>744</v>
      </c>
      <c r="B265" s="35" t="s">
        <v>745</v>
      </c>
      <c r="C265" s="75" t="s">
        <v>753</v>
      </c>
      <c r="D265" s="35" t="s">
        <v>474</v>
      </c>
    </row>
    <row r="266" spans="1:4" x14ac:dyDescent="0.25">
      <c r="A266" s="35" t="s">
        <v>744</v>
      </c>
      <c r="B266" s="35" t="s">
        <v>745</v>
      </c>
      <c r="C266" s="75" t="s">
        <v>757</v>
      </c>
      <c r="D266" s="35" t="s">
        <v>474</v>
      </c>
    </row>
    <row r="267" spans="1:4" x14ac:dyDescent="0.25">
      <c r="A267" s="35" t="s">
        <v>744</v>
      </c>
      <c r="B267" s="35" t="s">
        <v>745</v>
      </c>
      <c r="C267" s="75" t="s">
        <v>758</v>
      </c>
      <c r="D267" s="35" t="s">
        <v>474</v>
      </c>
    </row>
    <row r="268" spans="1:4" x14ac:dyDescent="0.25">
      <c r="A268" s="35" t="s">
        <v>744</v>
      </c>
      <c r="B268" s="35" t="s">
        <v>745</v>
      </c>
      <c r="C268" s="75" t="s">
        <v>759</v>
      </c>
      <c r="D268" s="35" t="s">
        <v>474</v>
      </c>
    </row>
    <row r="269" spans="1:4" x14ac:dyDescent="0.25">
      <c r="A269" s="35" t="s">
        <v>760</v>
      </c>
      <c r="B269" s="35" t="s">
        <v>761</v>
      </c>
      <c r="C269" s="75" t="s">
        <v>762</v>
      </c>
      <c r="D269" s="35" t="s">
        <v>474</v>
      </c>
    </row>
    <row r="270" spans="1:4" x14ac:dyDescent="0.25">
      <c r="A270" s="35" t="s">
        <v>760</v>
      </c>
      <c r="B270" s="35" t="s">
        <v>763</v>
      </c>
      <c r="C270" s="75" t="s">
        <v>764</v>
      </c>
      <c r="D270" s="35" t="s">
        <v>474</v>
      </c>
    </row>
    <row r="271" spans="1:4" x14ac:dyDescent="0.25">
      <c r="A271" s="35" t="s">
        <v>760</v>
      </c>
      <c r="B271" s="35" t="s">
        <v>761</v>
      </c>
      <c r="C271" s="75" t="s">
        <v>765</v>
      </c>
      <c r="D271" s="35" t="s">
        <v>474</v>
      </c>
    </row>
    <row r="272" spans="1:4" x14ac:dyDescent="0.25">
      <c r="A272" s="35" t="s">
        <v>767</v>
      </c>
      <c r="B272" s="35" t="s">
        <v>768</v>
      </c>
      <c r="C272" s="75" t="s">
        <v>769</v>
      </c>
      <c r="D272" s="35" t="s">
        <v>474</v>
      </c>
    </row>
    <row r="273" spans="1:4" x14ac:dyDescent="0.25">
      <c r="A273" s="35" t="s">
        <v>767</v>
      </c>
      <c r="B273" s="35" t="s">
        <v>768</v>
      </c>
      <c r="C273" s="75" t="s">
        <v>770</v>
      </c>
      <c r="D273" s="35" t="s">
        <v>474</v>
      </c>
    </row>
    <row r="274" spans="1:4" x14ac:dyDescent="0.25">
      <c r="A274" s="35" t="s">
        <v>774</v>
      </c>
      <c r="B274" s="35" t="s">
        <v>771</v>
      </c>
      <c r="C274" s="75" t="s">
        <v>772</v>
      </c>
      <c r="D274" s="35" t="s">
        <v>773</v>
      </c>
    </row>
    <row r="275" spans="1:4" x14ac:dyDescent="0.25">
      <c r="A275" s="35" t="s">
        <v>775</v>
      </c>
      <c r="B275" s="35" t="s">
        <v>776</v>
      </c>
      <c r="C275" s="75" t="s">
        <v>777</v>
      </c>
      <c r="D275" s="35" t="s">
        <v>474</v>
      </c>
    </row>
    <row r="276" spans="1:4" x14ac:dyDescent="0.25">
      <c r="A276" s="35" t="s">
        <v>787</v>
      </c>
      <c r="B276" s="35" t="s">
        <v>788</v>
      </c>
      <c r="C276" s="75" t="s">
        <v>789</v>
      </c>
      <c r="D276" s="35" t="s">
        <v>474</v>
      </c>
    </row>
    <row r="277" spans="1:4" x14ac:dyDescent="0.25">
      <c r="A277" s="35" t="s">
        <v>790</v>
      </c>
      <c r="B277" s="35" t="s">
        <v>791</v>
      </c>
      <c r="C277" s="75" t="s">
        <v>792</v>
      </c>
      <c r="D277" s="35" t="s">
        <v>474</v>
      </c>
    </row>
    <row r="278" spans="1:4" x14ac:dyDescent="0.25">
      <c r="A278" s="35" t="s">
        <v>790</v>
      </c>
      <c r="B278" s="35" t="s">
        <v>791</v>
      </c>
      <c r="C278" s="75" t="s">
        <v>793</v>
      </c>
      <c r="D278" s="35" t="s">
        <v>474</v>
      </c>
    </row>
    <row r="279" spans="1:4" x14ac:dyDescent="0.25">
      <c r="A279" s="35" t="s">
        <v>790</v>
      </c>
      <c r="B279" s="35" t="s">
        <v>791</v>
      </c>
      <c r="C279" s="75" t="s">
        <v>794</v>
      </c>
      <c r="D279" s="35" t="s">
        <v>474</v>
      </c>
    </row>
    <row r="280" spans="1:4" x14ac:dyDescent="0.25">
      <c r="A280" s="35" t="s">
        <v>790</v>
      </c>
      <c r="B280" s="35" t="s">
        <v>791</v>
      </c>
      <c r="C280" s="75" t="s">
        <v>795</v>
      </c>
      <c r="D280" s="35" t="s">
        <v>474</v>
      </c>
    </row>
    <row r="281" spans="1:4" x14ac:dyDescent="0.25">
      <c r="A281" s="35" t="s">
        <v>790</v>
      </c>
      <c r="B281" s="35" t="s">
        <v>791</v>
      </c>
      <c r="C281" s="75" t="s">
        <v>797</v>
      </c>
      <c r="D281" s="35" t="s">
        <v>474</v>
      </c>
    </row>
    <row r="282" spans="1:4" x14ac:dyDescent="0.25">
      <c r="A282" s="35" t="s">
        <v>790</v>
      </c>
      <c r="B282" s="35" t="s">
        <v>791</v>
      </c>
      <c r="C282" s="75" t="s">
        <v>798</v>
      </c>
      <c r="D282" s="35" t="s">
        <v>474</v>
      </c>
    </row>
    <row r="283" spans="1:4" x14ac:dyDescent="0.25">
      <c r="A283" s="35" t="s">
        <v>799</v>
      </c>
      <c r="B283" s="35" t="s">
        <v>800</v>
      </c>
      <c r="C283" s="75" t="s">
        <v>801</v>
      </c>
      <c r="D283" s="35" t="s">
        <v>474</v>
      </c>
    </row>
    <row r="285" spans="1:4" x14ac:dyDescent="0.25">
      <c r="A285" s="35" t="s">
        <v>802</v>
      </c>
      <c r="B285" s="35" t="s">
        <v>803</v>
      </c>
      <c r="C285" s="75" t="s">
        <v>804</v>
      </c>
      <c r="D285" s="35" t="s">
        <v>474</v>
      </c>
    </row>
    <row r="286" spans="1:4" x14ac:dyDescent="0.25">
      <c r="A286" s="35" t="s">
        <v>802</v>
      </c>
      <c r="C286" s="75" t="s">
        <v>805</v>
      </c>
      <c r="D286" s="35" t="s">
        <v>474</v>
      </c>
    </row>
    <row r="287" spans="1:4" x14ac:dyDescent="0.25">
      <c r="C287" s="75" t="s">
        <v>806</v>
      </c>
    </row>
    <row r="288" spans="1:4" x14ac:dyDescent="0.25">
      <c r="C288" s="75" t="s">
        <v>807</v>
      </c>
    </row>
    <row r="289" spans="1:4" x14ac:dyDescent="0.25">
      <c r="C289" s="75" t="s">
        <v>808</v>
      </c>
    </row>
    <row r="290" spans="1:4" x14ac:dyDescent="0.25">
      <c r="C290" s="75" t="s">
        <v>809</v>
      </c>
    </row>
    <row r="291" spans="1:4" x14ac:dyDescent="0.25">
      <c r="C291" s="75" t="s">
        <v>810</v>
      </c>
    </row>
    <row r="292" spans="1:4" x14ac:dyDescent="0.25">
      <c r="A292" s="35" t="s">
        <v>811</v>
      </c>
      <c r="B292" s="35" t="s">
        <v>813</v>
      </c>
      <c r="C292" s="75" t="s">
        <v>812</v>
      </c>
      <c r="D292" s="35" t="s">
        <v>474</v>
      </c>
    </row>
    <row r="293" spans="1:4" x14ac:dyDescent="0.25">
      <c r="C293" s="75" t="s">
        <v>814</v>
      </c>
      <c r="D293" s="35" t="s">
        <v>474</v>
      </c>
    </row>
    <row r="295" spans="1:4" ht="30" x14ac:dyDescent="0.25">
      <c r="A295" s="35" t="s">
        <v>816</v>
      </c>
      <c r="B295" s="35" t="s">
        <v>817</v>
      </c>
      <c r="C295" s="86" t="s">
        <v>818</v>
      </c>
      <c r="D295" s="35" t="s">
        <v>474</v>
      </c>
    </row>
    <row r="296" spans="1:4" x14ac:dyDescent="0.25">
      <c r="C296" s="75" t="s">
        <v>819</v>
      </c>
      <c r="D296" s="35" t="s">
        <v>474</v>
      </c>
    </row>
    <row r="297" spans="1:4" ht="15.75" x14ac:dyDescent="0.25">
      <c r="C297" s="238" t="s">
        <v>834</v>
      </c>
    </row>
    <row r="298" spans="1:4" ht="15.75" x14ac:dyDescent="0.25">
      <c r="C298" s="238" t="s">
        <v>835</v>
      </c>
    </row>
    <row r="299" spans="1:4" ht="15.75" x14ac:dyDescent="0.25">
      <c r="C299" s="238" t="s">
        <v>836</v>
      </c>
    </row>
    <row r="300" spans="1:4" x14ac:dyDescent="0.25">
      <c r="A300" s="35" t="s">
        <v>837</v>
      </c>
      <c r="B300" s="35" t="s">
        <v>838</v>
      </c>
      <c r="C300" s="75" t="s">
        <v>839</v>
      </c>
      <c r="D300" s="35" t="s">
        <v>701</v>
      </c>
    </row>
    <row r="301" spans="1:4" x14ac:dyDescent="0.25">
      <c r="C301" s="75" t="s">
        <v>840</v>
      </c>
    </row>
    <row r="302" spans="1:4" x14ac:dyDescent="0.25">
      <c r="C302" s="75" t="s">
        <v>841</v>
      </c>
    </row>
    <row r="303" spans="1:4" x14ac:dyDescent="0.25">
      <c r="C303" s="75" t="s">
        <v>842</v>
      </c>
    </row>
    <row r="304" spans="1:4" x14ac:dyDescent="0.25">
      <c r="A304" s="35" t="s">
        <v>851</v>
      </c>
      <c r="B304" s="35" t="s">
        <v>852</v>
      </c>
      <c r="C304" s="75" t="s">
        <v>853</v>
      </c>
      <c r="D304" s="35" t="s">
        <v>474</v>
      </c>
    </row>
    <row r="305" spans="1:4" x14ac:dyDescent="0.25">
      <c r="B305" s="35" t="s">
        <v>852</v>
      </c>
      <c r="C305" s="75" t="s">
        <v>854</v>
      </c>
    </row>
    <row r="306" spans="1:4" x14ac:dyDescent="0.25">
      <c r="C306" s="75" t="s">
        <v>855</v>
      </c>
    </row>
    <row r="307" spans="1:4" x14ac:dyDescent="0.25">
      <c r="C307" s="75" t="s">
        <v>856</v>
      </c>
    </row>
    <row r="308" spans="1:4" x14ac:dyDescent="0.25">
      <c r="C308" s="75" t="s">
        <v>857</v>
      </c>
    </row>
    <row r="309" spans="1:4" ht="15.75" x14ac:dyDescent="0.25">
      <c r="C309" s="238" t="s">
        <v>858</v>
      </c>
    </row>
    <row r="310" spans="1:4" x14ac:dyDescent="0.25">
      <c r="A310" s="35" t="s">
        <v>860</v>
      </c>
      <c r="B310" s="35" t="s">
        <v>771</v>
      </c>
      <c r="C310" s="75" t="s">
        <v>861</v>
      </c>
      <c r="D310" s="35" t="s">
        <v>474</v>
      </c>
    </row>
    <row r="311" spans="1:4" x14ac:dyDescent="0.25">
      <c r="C311" s="75" t="s">
        <v>862</v>
      </c>
    </row>
    <row r="312" spans="1:4" x14ac:dyDescent="0.25">
      <c r="C312" s="75" t="s">
        <v>863</v>
      </c>
    </row>
    <row r="313" spans="1:4" x14ac:dyDescent="0.25">
      <c r="C313" s="75" t="s">
        <v>864</v>
      </c>
    </row>
    <row r="314" spans="1:4" x14ac:dyDescent="0.25">
      <c r="A314" s="35" t="s">
        <v>865</v>
      </c>
      <c r="B314" s="35" t="s">
        <v>866</v>
      </c>
      <c r="C314" s="75" t="s">
        <v>867</v>
      </c>
      <c r="D314" s="35" t="s">
        <v>474</v>
      </c>
    </row>
    <row r="315" spans="1:4" x14ac:dyDescent="0.25">
      <c r="A315" s="35" t="s">
        <v>869</v>
      </c>
      <c r="B315" s="35" t="s">
        <v>870</v>
      </c>
      <c r="C315" s="75" t="s">
        <v>871</v>
      </c>
    </row>
    <row r="316" spans="1:4" x14ac:dyDescent="0.25">
      <c r="A316" s="35" t="s">
        <v>869</v>
      </c>
      <c r="B316" s="35" t="s">
        <v>791</v>
      </c>
      <c r="C316" s="75" t="s">
        <v>872</v>
      </c>
      <c r="D316" s="35" t="s">
        <v>474</v>
      </c>
    </row>
    <row r="317" spans="1:4" x14ac:dyDescent="0.25">
      <c r="A317" s="35" t="s">
        <v>873</v>
      </c>
      <c r="B317" s="35" t="s">
        <v>874</v>
      </c>
      <c r="C317" s="75" t="s">
        <v>875</v>
      </c>
      <c r="D317" s="35" t="s">
        <v>474</v>
      </c>
    </row>
    <row r="319" spans="1:4" x14ac:dyDescent="0.25">
      <c r="A319" s="35" t="s">
        <v>876</v>
      </c>
      <c r="B319" s="35" t="s">
        <v>877</v>
      </c>
      <c r="C319" s="75" t="s">
        <v>878</v>
      </c>
      <c r="D319" s="35" t="s">
        <v>474</v>
      </c>
    </row>
    <row r="321" spans="1:4" x14ac:dyDescent="0.25">
      <c r="A321" s="35" t="s">
        <v>879</v>
      </c>
      <c r="B321" s="35" t="s">
        <v>880</v>
      </c>
      <c r="C321" s="75" t="s">
        <v>881</v>
      </c>
      <c r="D321" s="35" t="s">
        <v>474</v>
      </c>
    </row>
    <row r="322" spans="1:4" x14ac:dyDescent="0.25">
      <c r="C322" s="75" t="s">
        <v>886</v>
      </c>
    </row>
    <row r="323" spans="1:4" x14ac:dyDescent="0.25">
      <c r="C323" s="75" t="s">
        <v>887</v>
      </c>
    </row>
    <row r="324" spans="1:4" x14ac:dyDescent="0.25">
      <c r="C324" s="75" t="s">
        <v>888</v>
      </c>
    </row>
    <row r="325" spans="1:4" x14ac:dyDescent="0.25">
      <c r="C325" s="75" t="s">
        <v>889</v>
      </c>
    </row>
    <row r="326" spans="1:4" x14ac:dyDescent="0.25">
      <c r="C326" s="75" t="s">
        <v>890</v>
      </c>
    </row>
    <row r="328" spans="1:4" x14ac:dyDescent="0.25">
      <c r="A328" s="35" t="s">
        <v>896</v>
      </c>
      <c r="B328" s="35" t="s">
        <v>897</v>
      </c>
      <c r="C328" s="75" t="s">
        <v>898</v>
      </c>
      <c r="D328" s="35" t="s">
        <v>474</v>
      </c>
    </row>
    <row r="329" spans="1:4" x14ac:dyDescent="0.25">
      <c r="C329" s="75" t="s">
        <v>899</v>
      </c>
      <c r="D329" s="35" t="s">
        <v>474</v>
      </c>
    </row>
    <row r="332" spans="1:4" x14ac:dyDescent="0.25">
      <c r="A332" s="35" t="s">
        <v>903</v>
      </c>
      <c r="B332" s="35" t="s">
        <v>904</v>
      </c>
      <c r="C332" s="75" t="s">
        <v>905</v>
      </c>
      <c r="D332" s="35" t="s">
        <v>474</v>
      </c>
    </row>
    <row r="333" spans="1:4" x14ac:dyDescent="0.25">
      <c r="A333" s="35">
        <v>22</v>
      </c>
      <c r="C333" s="75" t="s">
        <v>906</v>
      </c>
    </row>
    <row r="334" spans="1:4" x14ac:dyDescent="0.25">
      <c r="C334" s="75" t="s">
        <v>907</v>
      </c>
    </row>
    <row r="335" spans="1:4" x14ac:dyDescent="0.25">
      <c r="A335" s="35" t="s">
        <v>909</v>
      </c>
      <c r="B335" s="35" t="s">
        <v>910</v>
      </c>
      <c r="C335" s="75" t="s">
        <v>911</v>
      </c>
    </row>
    <row r="336" spans="1:4" x14ac:dyDescent="0.25">
      <c r="A336" s="35" t="s">
        <v>912</v>
      </c>
      <c r="B336" s="35" t="s">
        <v>910</v>
      </c>
      <c r="C336" s="75" t="s">
        <v>913</v>
      </c>
      <c r="D336" s="35" t="s">
        <v>474</v>
      </c>
    </row>
    <row r="337" spans="1:4" x14ac:dyDescent="0.25">
      <c r="C337" s="75" t="s">
        <v>915</v>
      </c>
      <c r="D337" s="35" t="s">
        <v>918</v>
      </c>
    </row>
    <row r="338" spans="1:4" x14ac:dyDescent="0.25">
      <c r="C338" s="75" t="s">
        <v>916</v>
      </c>
    </row>
    <row r="339" spans="1:4" x14ac:dyDescent="0.25">
      <c r="C339" s="75" t="s">
        <v>917</v>
      </c>
    </row>
    <row r="340" spans="1:4" ht="15.75" x14ac:dyDescent="0.25">
      <c r="C340" s="238" t="s">
        <v>919</v>
      </c>
    </row>
    <row r="341" spans="1:4" x14ac:dyDescent="0.25">
      <c r="A341" s="35" t="s">
        <v>920</v>
      </c>
      <c r="B341" s="35" t="s">
        <v>922</v>
      </c>
      <c r="C341" s="75" t="s">
        <v>921</v>
      </c>
      <c r="D341" s="35" t="s">
        <v>474</v>
      </c>
    </row>
    <row r="342" spans="1:4" x14ac:dyDescent="0.25">
      <c r="C342" s="75" t="s">
        <v>923</v>
      </c>
    </row>
    <row r="343" spans="1:4" x14ac:dyDescent="0.25">
      <c r="C343" s="75" t="s">
        <v>924</v>
      </c>
    </row>
    <row r="344" spans="1:4" x14ac:dyDescent="0.25">
      <c r="C344" s="75" t="s">
        <v>925</v>
      </c>
    </row>
    <row r="345" spans="1:4" x14ac:dyDescent="0.25">
      <c r="A345" s="35" t="s">
        <v>930</v>
      </c>
      <c r="B345" s="35" t="s">
        <v>931</v>
      </c>
      <c r="C345" s="75" t="s">
        <v>932</v>
      </c>
      <c r="D345" s="35" t="s">
        <v>474</v>
      </c>
    </row>
    <row r="346" spans="1:4" x14ac:dyDescent="0.25">
      <c r="C346" s="75" t="s">
        <v>933</v>
      </c>
    </row>
    <row r="347" spans="1:4" x14ac:dyDescent="0.25">
      <c r="C347" s="75" t="s">
        <v>934</v>
      </c>
    </row>
    <row r="348" spans="1:4" x14ac:dyDescent="0.25">
      <c r="A348" s="35" t="s">
        <v>935</v>
      </c>
      <c r="B348" s="35" t="s">
        <v>936</v>
      </c>
      <c r="C348" s="75" t="s">
        <v>937</v>
      </c>
      <c r="D348" s="35" t="s">
        <v>474</v>
      </c>
    </row>
    <row r="349" spans="1:4" x14ac:dyDescent="0.25">
      <c r="A349" s="35" t="s">
        <v>935</v>
      </c>
      <c r="C349" s="75" t="s">
        <v>939</v>
      </c>
    </row>
    <row r="350" spans="1:4" x14ac:dyDescent="0.25">
      <c r="C350" s="75" t="s">
        <v>940</v>
      </c>
    </row>
    <row r="351" spans="1:4" x14ac:dyDescent="0.25">
      <c r="C351" s="75" t="s">
        <v>941</v>
      </c>
    </row>
    <row r="352" spans="1:4" x14ac:dyDescent="0.25">
      <c r="C352" s="75" t="s">
        <v>942</v>
      </c>
    </row>
    <row r="353" spans="1:4" x14ac:dyDescent="0.25">
      <c r="C353" s="75" t="s">
        <v>943</v>
      </c>
    </row>
    <row r="354" spans="1:4" x14ac:dyDescent="0.25">
      <c r="C354" s="75" t="s">
        <v>944</v>
      </c>
    </row>
    <row r="355" spans="1:4" x14ac:dyDescent="0.25">
      <c r="C355" s="75" t="s">
        <v>946</v>
      </c>
    </row>
    <row r="356" spans="1:4" x14ac:dyDescent="0.25">
      <c r="C356" s="75" t="s">
        <v>947</v>
      </c>
    </row>
    <row r="357" spans="1:4" x14ac:dyDescent="0.25">
      <c r="A357" s="35" t="s">
        <v>948</v>
      </c>
      <c r="C357" s="75" t="s">
        <v>949</v>
      </c>
      <c r="D357" s="35" t="s">
        <v>474</v>
      </c>
    </row>
    <row r="358" spans="1:4" x14ac:dyDescent="0.25">
      <c r="A358" s="35" t="s">
        <v>952</v>
      </c>
      <c r="B358" s="35" t="s">
        <v>788</v>
      </c>
      <c r="C358" s="75" t="s">
        <v>953</v>
      </c>
      <c r="D358" s="35" t="s">
        <v>474</v>
      </c>
    </row>
    <row r="359" spans="1:4" x14ac:dyDescent="0.25">
      <c r="C359" s="75" t="s">
        <v>954</v>
      </c>
    </row>
    <row r="360" spans="1:4" x14ac:dyDescent="0.25">
      <c r="C360" s="75" t="s">
        <v>955</v>
      </c>
    </row>
    <row r="361" spans="1:4" x14ac:dyDescent="0.25">
      <c r="A361" s="35" t="s">
        <v>957</v>
      </c>
      <c r="B361" s="35" t="s">
        <v>877</v>
      </c>
      <c r="C361" s="75" t="s">
        <v>958</v>
      </c>
      <c r="D361" s="35" t="s">
        <v>474</v>
      </c>
    </row>
    <row r="363" spans="1:4" x14ac:dyDescent="0.25">
      <c r="A363" s="35" t="s">
        <v>971</v>
      </c>
      <c r="B363" s="35" t="s">
        <v>972</v>
      </c>
      <c r="C363" s="75" t="s">
        <v>959</v>
      </c>
    </row>
    <row r="364" spans="1:4" x14ac:dyDescent="0.25">
      <c r="C364" s="75" t="s">
        <v>960</v>
      </c>
    </row>
    <row r="365" spans="1:4" x14ac:dyDescent="0.25">
      <c r="C365" s="75" t="s">
        <v>961</v>
      </c>
    </row>
    <row r="366" spans="1:4" x14ac:dyDescent="0.25">
      <c r="C366" s="75" t="s">
        <v>962</v>
      </c>
    </row>
    <row r="367" spans="1:4" x14ac:dyDescent="0.25">
      <c r="C367" s="75" t="s">
        <v>963</v>
      </c>
    </row>
    <row r="368" spans="1:4" x14ac:dyDescent="0.25">
      <c r="C368" s="75" t="s">
        <v>960</v>
      </c>
    </row>
    <row r="369" spans="1:5" x14ac:dyDescent="0.25">
      <c r="C369" s="75" t="s">
        <v>961</v>
      </c>
    </row>
    <row r="370" spans="1:5" x14ac:dyDescent="0.25">
      <c r="C370" s="75" t="s">
        <v>964</v>
      </c>
    </row>
    <row r="371" spans="1:5" x14ac:dyDescent="0.25">
      <c r="C371" s="75" t="s">
        <v>965</v>
      </c>
    </row>
    <row r="372" spans="1:5" x14ac:dyDescent="0.25">
      <c r="C372" s="75" t="s">
        <v>966</v>
      </c>
    </row>
    <row r="373" spans="1:5" x14ac:dyDescent="0.25">
      <c r="C373" s="75" t="s">
        <v>967</v>
      </c>
    </row>
    <row r="374" spans="1:5" x14ac:dyDescent="0.25">
      <c r="C374" s="75" t="s">
        <v>968</v>
      </c>
    </row>
    <row r="375" spans="1:5" x14ac:dyDescent="0.25">
      <c r="C375" s="75" t="s">
        <v>969</v>
      </c>
    </row>
    <row r="376" spans="1:5" x14ac:dyDescent="0.25">
      <c r="C376" s="75" t="s">
        <v>970</v>
      </c>
    </row>
    <row r="377" spans="1:5" x14ac:dyDescent="0.25">
      <c r="C377" s="75" t="s">
        <v>975</v>
      </c>
      <c r="D377" s="35" t="s">
        <v>973</v>
      </c>
      <c r="E377" s="2" t="s">
        <v>974</v>
      </c>
    </row>
    <row r="379" spans="1:5" x14ac:dyDescent="0.25">
      <c r="A379" s="35" t="s">
        <v>977</v>
      </c>
      <c r="B379" s="35" t="s">
        <v>978</v>
      </c>
      <c r="C379" s="75" t="s">
        <v>979</v>
      </c>
      <c r="D379" s="35" t="s">
        <v>973</v>
      </c>
      <c r="E379" s="2" t="s">
        <v>980</v>
      </c>
    </row>
    <row r="381" spans="1:5" x14ac:dyDescent="0.25">
      <c r="A381" s="35" t="s">
        <v>981</v>
      </c>
      <c r="B381" s="35" t="s">
        <v>982</v>
      </c>
      <c r="C381" s="75" t="s">
        <v>983</v>
      </c>
      <c r="D381" s="35" t="s">
        <v>973</v>
      </c>
      <c r="E381" s="2" t="s">
        <v>984</v>
      </c>
    </row>
    <row r="382" spans="1:5" x14ac:dyDescent="0.25">
      <c r="C382" s="75" t="s">
        <v>986</v>
      </c>
    </row>
    <row r="384" spans="1:5" x14ac:dyDescent="0.25">
      <c r="A384" s="35" t="s">
        <v>989</v>
      </c>
      <c r="B384" s="35" t="s">
        <v>990</v>
      </c>
      <c r="C384" s="75" t="s">
        <v>993</v>
      </c>
      <c r="D384" s="35" t="s">
        <v>474</v>
      </c>
      <c r="E384" s="2" t="s">
        <v>991</v>
      </c>
    </row>
    <row r="385" spans="1:5" x14ac:dyDescent="0.25">
      <c r="C385" s="75" t="s">
        <v>992</v>
      </c>
    </row>
    <row r="386" spans="1:5" x14ac:dyDescent="0.25">
      <c r="A386" s="35" t="s">
        <v>994</v>
      </c>
      <c r="B386" s="35" t="s">
        <v>995</v>
      </c>
      <c r="C386" s="75" t="s">
        <v>996</v>
      </c>
      <c r="D386" s="35" t="s">
        <v>973</v>
      </c>
      <c r="E386" s="2" t="s">
        <v>997</v>
      </c>
    </row>
    <row r="388" spans="1:5" x14ac:dyDescent="0.25">
      <c r="A388" s="35" t="s">
        <v>998</v>
      </c>
      <c r="B388" s="35" t="s">
        <v>880</v>
      </c>
      <c r="C388" s="75" t="s">
        <v>999</v>
      </c>
      <c r="D388" s="35" t="s">
        <v>1000</v>
      </c>
      <c r="E388" s="2" t="s">
        <v>974</v>
      </c>
    </row>
    <row r="389" spans="1:5" x14ac:dyDescent="0.25">
      <c r="C389" s="75" t="s">
        <v>1001</v>
      </c>
      <c r="D389" s="35" t="s">
        <v>1002</v>
      </c>
      <c r="E389" s="2" t="s">
        <v>974</v>
      </c>
    </row>
    <row r="391" spans="1:5" x14ac:dyDescent="0.25">
      <c r="A391" s="35" t="s">
        <v>1008</v>
      </c>
      <c r="B391" s="35" t="s">
        <v>1009</v>
      </c>
      <c r="C391" s="75" t="s">
        <v>1010</v>
      </c>
      <c r="D391" s="35" t="s">
        <v>1000</v>
      </c>
      <c r="E391" s="2" t="s">
        <v>980</v>
      </c>
    </row>
    <row r="392" spans="1:5" x14ac:dyDescent="0.25">
      <c r="C392" s="75" t="s">
        <v>1012</v>
      </c>
      <c r="D392" s="35" t="s">
        <v>1000</v>
      </c>
      <c r="E392" s="2" t="s">
        <v>980</v>
      </c>
    </row>
    <row r="394" spans="1:5" x14ac:dyDescent="0.25">
      <c r="C394" s="75" t="s">
        <v>1015</v>
      </c>
      <c r="D394" s="35" t="s">
        <v>1000</v>
      </c>
      <c r="E394" s="2" t="s">
        <v>980</v>
      </c>
    </row>
    <row r="395" spans="1:5" x14ac:dyDescent="0.25">
      <c r="C395" s="75" t="s">
        <v>1014</v>
      </c>
      <c r="D395" s="35" t="s">
        <v>1000</v>
      </c>
      <c r="E395" s="2" t="s">
        <v>980</v>
      </c>
    </row>
    <row r="397" spans="1:5" x14ac:dyDescent="0.25">
      <c r="C397" s="75" t="s">
        <v>1027</v>
      </c>
      <c r="D397" s="35" t="s">
        <v>1000</v>
      </c>
      <c r="E397" s="2" t="s">
        <v>984</v>
      </c>
    </row>
    <row r="399" spans="1:5" x14ac:dyDescent="0.25">
      <c r="A399" s="35" t="s">
        <v>1034</v>
      </c>
      <c r="B399" s="35" t="s">
        <v>1035</v>
      </c>
      <c r="C399" s="75" t="s">
        <v>1031</v>
      </c>
      <c r="D399" s="35" t="s">
        <v>1000</v>
      </c>
      <c r="E399" s="2" t="s">
        <v>1035</v>
      </c>
    </row>
    <row r="400" spans="1:5" x14ac:dyDescent="0.25">
      <c r="C400" s="75" t="s">
        <v>1032</v>
      </c>
    </row>
    <row r="401" spans="1:5" x14ac:dyDescent="0.25">
      <c r="C401" s="75" t="s">
        <v>1033</v>
      </c>
    </row>
    <row r="403" spans="1:5" x14ac:dyDescent="0.25">
      <c r="A403" s="35" t="s">
        <v>1034</v>
      </c>
      <c r="B403" s="35" t="s">
        <v>991</v>
      </c>
      <c r="C403" s="75" t="s">
        <v>1036</v>
      </c>
      <c r="D403" s="35" t="s">
        <v>1000</v>
      </c>
      <c r="E403" s="2" t="s">
        <v>991</v>
      </c>
    </row>
    <row r="404" spans="1:5" x14ac:dyDescent="0.25">
      <c r="C404" s="75" t="s">
        <v>1037</v>
      </c>
    </row>
    <row r="405" spans="1:5" x14ac:dyDescent="0.25">
      <c r="C405" s="75" t="s">
        <v>1038</v>
      </c>
    </row>
    <row r="406" spans="1:5" x14ac:dyDescent="0.25">
      <c r="C406" s="75" t="s">
        <v>1040</v>
      </c>
    </row>
    <row r="408" spans="1:5" x14ac:dyDescent="0.25">
      <c r="A408" s="35" t="s">
        <v>1034</v>
      </c>
      <c r="B408" s="35" t="s">
        <v>1042</v>
      </c>
      <c r="C408" s="75" t="s">
        <v>1041</v>
      </c>
      <c r="D408" s="35" t="s">
        <v>1000</v>
      </c>
      <c r="E408" s="2" t="s">
        <v>1042</v>
      </c>
    </row>
    <row r="412" spans="1:5" x14ac:dyDescent="0.25">
      <c r="A412" s="35" t="s">
        <v>1045</v>
      </c>
      <c r="B412" s="35" t="s">
        <v>1046</v>
      </c>
      <c r="C412" s="75" t="s">
        <v>1047</v>
      </c>
      <c r="D412" s="35" t="s">
        <v>474</v>
      </c>
    </row>
    <row r="413" spans="1:5" x14ac:dyDescent="0.25">
      <c r="C413" s="75" t="s">
        <v>1070</v>
      </c>
    </row>
    <row r="414" spans="1:5" x14ac:dyDescent="0.25">
      <c r="C414" s="75" t="s">
        <v>1071</v>
      </c>
    </row>
    <row r="417" spans="1:5" x14ac:dyDescent="0.25">
      <c r="A417" s="35" t="s">
        <v>1072</v>
      </c>
      <c r="B417" s="35" t="s">
        <v>1073</v>
      </c>
      <c r="C417" s="75" t="s">
        <v>1074</v>
      </c>
      <c r="D417" s="35" t="s">
        <v>474</v>
      </c>
      <c r="E417" s="2" t="s">
        <v>1073</v>
      </c>
    </row>
    <row r="419" spans="1:5" x14ac:dyDescent="0.25">
      <c r="A419" s="35" t="s">
        <v>1075</v>
      </c>
      <c r="B419" s="35" t="s">
        <v>1076</v>
      </c>
      <c r="C419" s="75" t="s">
        <v>1077</v>
      </c>
      <c r="D419" s="35" t="s">
        <v>1000</v>
      </c>
      <c r="E419" s="2" t="s">
        <v>1076</v>
      </c>
    </row>
    <row r="421" spans="1:5" x14ac:dyDescent="0.25">
      <c r="A421" s="35" t="s">
        <v>1078</v>
      </c>
      <c r="B421" s="35" t="s">
        <v>1079</v>
      </c>
      <c r="C421" s="75" t="s">
        <v>1080</v>
      </c>
      <c r="D421" s="35" t="s">
        <v>1000</v>
      </c>
      <c r="E421" s="2" t="s">
        <v>1079</v>
      </c>
    </row>
    <row r="422" spans="1:5" x14ac:dyDescent="0.25">
      <c r="C422" s="75" t="s">
        <v>1081</v>
      </c>
    </row>
    <row r="424" spans="1:5" x14ac:dyDescent="0.25">
      <c r="A424" s="35" t="s">
        <v>1083</v>
      </c>
      <c r="B424" s="35" t="s">
        <v>1084</v>
      </c>
      <c r="C424" s="75" t="s">
        <v>1085</v>
      </c>
      <c r="D424" s="35" t="s">
        <v>474</v>
      </c>
      <c r="E424" s="2" t="s">
        <v>1084</v>
      </c>
    </row>
    <row r="425" spans="1:5" x14ac:dyDescent="0.25">
      <c r="C425" s="75" t="s">
        <v>1090</v>
      </c>
    </row>
    <row r="427" spans="1:5" x14ac:dyDescent="0.25">
      <c r="A427" s="35" t="s">
        <v>1093</v>
      </c>
      <c r="B427" s="35" t="s">
        <v>997</v>
      </c>
      <c r="C427" s="75" t="s">
        <v>958</v>
      </c>
      <c r="D427" s="35" t="s">
        <v>973</v>
      </c>
      <c r="E427" s="2" t="s">
        <v>997</v>
      </c>
    </row>
  </sheetData>
  <customSheetViews>
    <customSheetView guid="{413575D0-A88C-4EFD-A604-365F28B09173}" fitToPage="1" state="hidden">
      <selection activeCell="A7" sqref="A7"/>
      <pageMargins left="0.7" right="0.7" top="0.75" bottom="0.75" header="0.3" footer="0.3"/>
      <pageSetup scale="58" orientation="portrait" horizontalDpi="1200" verticalDpi="1200" r:id="rId1"/>
    </customSheetView>
  </customSheetViews>
  <mergeCells count="2">
    <mergeCell ref="A1:H1"/>
    <mergeCell ref="A2:H2"/>
  </mergeCells>
  <pageMargins left="0.7" right="0.7" top="0.75" bottom="0.75" header="0.3" footer="0.3"/>
  <pageSetup scale="37" orientation="portrait" horizontalDpi="1200" verticalDpi="1200"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Z79"/>
  <sheetViews>
    <sheetView zoomScale="48" zoomScaleNormal="99" workbookViewId="0">
      <pane ySplit="1" topLeftCell="A20" activePane="bottomLeft" state="frozen"/>
      <selection activeCell="P86" sqref="P86"/>
      <selection pane="bottomLeft"/>
    </sheetView>
  </sheetViews>
  <sheetFormatPr defaultRowHeight="5.0999999999999996" customHeight="1" x14ac:dyDescent="0.25"/>
  <cols>
    <col min="1" max="1" width="11.5703125" customWidth="1"/>
    <col min="2" max="2" width="21.140625" customWidth="1"/>
    <col min="3" max="3" width="17.5703125" customWidth="1"/>
    <col min="4" max="4" width="28" customWidth="1"/>
    <col min="5" max="5" width="56.42578125" bestFit="1" customWidth="1"/>
    <col min="6" max="6" width="13.85546875" style="3" customWidth="1"/>
    <col min="7" max="7" width="16.140625" customWidth="1"/>
    <col min="8" max="8" width="12.42578125" customWidth="1"/>
    <col min="9" max="9" width="33.140625" customWidth="1"/>
    <col min="10" max="18" width="12.42578125" customWidth="1"/>
    <col min="19" max="21" width="13.85546875" customWidth="1"/>
    <col min="22" max="27" width="12.42578125" customWidth="1"/>
    <col min="28" max="28" width="13.85546875" style="46" customWidth="1"/>
    <col min="29" max="29" width="13.85546875" style="47" customWidth="1"/>
    <col min="30" max="31" width="12.140625" style="47" customWidth="1"/>
    <col min="32" max="32" width="13.85546875" style="47" customWidth="1"/>
    <col min="33" max="39" width="13.85546875" customWidth="1"/>
    <col min="40" max="43" width="13.85546875" style="9" customWidth="1"/>
    <col min="44" max="49" width="13.85546875" style="44" customWidth="1"/>
    <col min="50" max="50" width="44.5703125" bestFit="1" customWidth="1"/>
    <col min="51" max="51" width="9.5703125" bestFit="1" customWidth="1"/>
  </cols>
  <sheetData>
    <row r="1" spans="1:52" s="15" customFormat="1" ht="75" x14ac:dyDescent="0.25">
      <c r="A1" s="15" t="s">
        <v>331</v>
      </c>
      <c r="B1" s="56" t="s">
        <v>332</v>
      </c>
      <c r="C1" s="56" t="s">
        <v>333</v>
      </c>
      <c r="D1" s="56" t="s">
        <v>334</v>
      </c>
      <c r="E1" s="56" t="s">
        <v>335</v>
      </c>
      <c r="F1" s="56" t="s">
        <v>336</v>
      </c>
      <c r="G1" s="56" t="s">
        <v>337</v>
      </c>
      <c r="H1" s="56" t="s">
        <v>338</v>
      </c>
      <c r="I1" s="36" t="s">
        <v>584</v>
      </c>
      <c r="J1" s="55" t="s">
        <v>348</v>
      </c>
      <c r="K1" s="36" t="s">
        <v>549</v>
      </c>
      <c r="L1" s="36" t="s">
        <v>550</v>
      </c>
      <c r="M1" s="55" t="s">
        <v>358</v>
      </c>
      <c r="N1" s="55" t="s">
        <v>359</v>
      </c>
      <c r="O1" s="37" t="s">
        <v>548</v>
      </c>
      <c r="P1" s="56" t="s">
        <v>339</v>
      </c>
      <c r="Q1" s="56" t="s">
        <v>346</v>
      </c>
      <c r="R1" s="56" t="s">
        <v>347</v>
      </c>
      <c r="S1" s="55" t="s">
        <v>353</v>
      </c>
      <c r="T1" s="56" t="s">
        <v>378</v>
      </c>
      <c r="U1" s="15" t="s">
        <v>538</v>
      </c>
      <c r="V1" s="37" t="s">
        <v>551</v>
      </c>
      <c r="W1" s="37" t="s">
        <v>581</v>
      </c>
      <c r="X1" s="37" t="s">
        <v>552</v>
      </c>
      <c r="Y1" s="37" t="s">
        <v>553</v>
      </c>
      <c r="Z1" s="37" t="s">
        <v>554</v>
      </c>
      <c r="AA1" s="37" t="s">
        <v>555</v>
      </c>
      <c r="AB1" s="57" t="s">
        <v>603</v>
      </c>
      <c r="AC1" s="57" t="s">
        <v>604</v>
      </c>
      <c r="AD1" s="57" t="s">
        <v>607</v>
      </c>
      <c r="AE1" s="57" t="s">
        <v>609</v>
      </c>
      <c r="AF1" s="57" t="s">
        <v>608</v>
      </c>
      <c r="AG1" s="57" t="s">
        <v>343</v>
      </c>
      <c r="AH1" s="57" t="s">
        <v>344</v>
      </c>
      <c r="AI1" s="57" t="s">
        <v>345</v>
      </c>
      <c r="AJ1" s="57" t="s">
        <v>355</v>
      </c>
      <c r="AK1" s="57" t="s">
        <v>350</v>
      </c>
      <c r="AL1" s="57" t="s">
        <v>605</v>
      </c>
      <c r="AM1" s="57" t="s">
        <v>606</v>
      </c>
      <c r="AN1" s="57" t="s">
        <v>356</v>
      </c>
      <c r="AO1" s="57" t="s">
        <v>357</v>
      </c>
      <c r="AP1" s="57" t="s">
        <v>560</v>
      </c>
      <c r="AQ1" s="57" t="s">
        <v>602</v>
      </c>
      <c r="AR1" s="57" t="s">
        <v>340</v>
      </c>
      <c r="AS1" s="57" t="s">
        <v>341</v>
      </c>
      <c r="AT1" s="57" t="s">
        <v>342</v>
      </c>
      <c r="AU1" s="57" t="s">
        <v>354</v>
      </c>
      <c r="AV1" s="57" t="s">
        <v>371</v>
      </c>
      <c r="AW1" s="57" t="s">
        <v>352</v>
      </c>
      <c r="AX1" s="57" t="s">
        <v>408</v>
      </c>
      <c r="AY1" s="15" t="s">
        <v>755</v>
      </c>
      <c r="AZ1" s="15" t="s">
        <v>756</v>
      </c>
    </row>
    <row r="2" spans="1:52" ht="15" x14ac:dyDescent="0.25">
      <c r="A2">
        <v>1</v>
      </c>
      <c r="C2" t="str">
        <f>IF(Worksheet!F7="","","Lighting")</f>
        <v/>
      </c>
      <c r="D2" t="str">
        <f>IF(C2="","","LED/Solid State")</f>
        <v/>
      </c>
      <c r="E2" t="str">
        <f>IF(C2="","","EB LED Refrigerated Case Lighting (Refrigerator) - R101")</f>
        <v/>
      </c>
      <c r="F2" s="3" t="str">
        <f t="shared" ref="F2:F7" si="0">IF(E2="","",RIGHT(E2,4))</f>
        <v/>
      </c>
      <c r="G2" t="str">
        <f>IF(E2="","",Worksheet!F7)</f>
        <v/>
      </c>
      <c r="H2" t="str">
        <f>IF(C2="","",'Customer Information'!$L$40)</f>
        <v/>
      </c>
      <c r="I2" s="3" t="str">
        <f>_xlfn.IFNA(INDEX(References!L$90:L$127,MATCH($E2,References!$J$73:$J$127,0)),"")</f>
        <v/>
      </c>
      <c r="N2" s="49" t="str">
        <f>IF(E2="","",References!R90)</f>
        <v/>
      </c>
      <c r="P2" s="49" t="str">
        <f>IF(C2="","",References!S90)</f>
        <v/>
      </c>
      <c r="Q2" t="str">
        <f>IF(C2="","",References!$U$90)</f>
        <v/>
      </c>
      <c r="R2" t="str">
        <f>IF(E2="","",References!$T$90)</f>
        <v/>
      </c>
      <c r="S2" s="48" t="str">
        <f>IF(C2="","",References!V90)</f>
        <v/>
      </c>
      <c r="AB2" s="60" t="str">
        <f>IF($C2="","",INDEX(References!N$90:N$127,MATCH($E2,References!$J$73:$J$127,0)))</f>
        <v/>
      </c>
      <c r="AC2" s="62" t="str">
        <f>IF(D2="","",INDEX(References!O$90:O$127,MATCH($E2,References!$J$73:$J$127,0)))</f>
        <v/>
      </c>
      <c r="AD2" s="47" t="str">
        <f>IF(C2="","",1)</f>
        <v/>
      </c>
      <c r="AE2" s="61" t="str">
        <f>IF(AB2="","",AB2*AD2)</f>
        <v/>
      </c>
      <c r="AF2" s="62" t="str">
        <f>IF(AC2="","",AC2*AG2*AD2)</f>
        <v/>
      </c>
      <c r="AG2" s="58" t="str">
        <f>IF(E2="","",References!Q90)</f>
        <v/>
      </c>
      <c r="AH2" s="59" t="str">
        <f>IF(E2="","",INDEX(References!$AS:$AS,MATCH(ProposedEquipment0!E2,References!$AN:$AN,0)))</f>
        <v/>
      </c>
      <c r="AI2" s="59" t="str">
        <f>IF(E2="","",INDEX(References!$AT:$AT,MATCH(ProposedEquipment0!E2,References!$AN:$AN,0)))</f>
        <v/>
      </c>
      <c r="AJ2" s="59" t="str">
        <f>IF(E2="","",INDEX(References!$AQ:$AQ,MATCH(ProposedEquipment0!E2,References!$AN:$AN,0)))</f>
        <v/>
      </c>
      <c r="AK2" s="59" t="str">
        <f>IF(E2="","",INDEX(References!$AR:$AR,MATCH(ProposedEquipment0!E2,References!$AN:$AN,0)))</f>
        <v/>
      </c>
      <c r="AL2" s="68" t="str">
        <f>IF(E2="","",AB2/(1-AK2)*((1-AH2)*(1+AI2)))</f>
        <v/>
      </c>
      <c r="AM2" s="69" t="str">
        <f>IF(E2="","",(AC2*AG2)/(1-AJ2)*((1-AH2)*(1+AI2)))</f>
        <v/>
      </c>
      <c r="AN2" s="70" t="str">
        <f t="shared" ref="AN2:AN28" si="1">IF(E2="","",AL2*G2)</f>
        <v/>
      </c>
      <c r="AO2" s="71" t="str">
        <f t="shared" ref="AO2:AO28" si="2">IF(E2="","",AM2*G2)</f>
        <v/>
      </c>
      <c r="AP2" s="53" t="str">
        <f>IF(AN2="","",AN2*3412/1000000)</f>
        <v/>
      </c>
      <c r="AQ2" s="54" t="str">
        <f>IF($C2="","",INDEX(References!P$90:P$127,MATCH($E2,References!$J$73:$J$127,0))*G2)</f>
        <v/>
      </c>
      <c r="AU2" s="44" t="str">
        <f t="shared" ref="AU2:AU28" si="3">IF(C2="","",AW2)</f>
        <v/>
      </c>
      <c r="AV2" s="44" t="str">
        <f t="shared" ref="AV2:AV28" si="4">IF(C2="","",AW2*G2)</f>
        <v/>
      </c>
      <c r="AW2" s="44" t="str">
        <f>IF(C2="","",INDEX(References!M$90:M$127,MATCH($E2,References!$J$73:$J$127,0)))</f>
        <v/>
      </c>
      <c r="AY2" t="str">
        <f>IF(AE2="","",AE2*G2)</f>
        <v/>
      </c>
      <c r="AZ2" t="str">
        <f>IF(AF2="","",AF2*G2)</f>
        <v/>
      </c>
    </row>
    <row r="3" spans="1:52" ht="15" x14ac:dyDescent="0.25">
      <c r="A3">
        <v>2</v>
      </c>
      <c r="C3" t="str">
        <f>IF(Worksheet!F8="","","Lighting")</f>
        <v/>
      </c>
      <c r="D3" t="str">
        <f>IF(C3="","","LED/Solid State")</f>
        <v/>
      </c>
      <c r="E3" t="str">
        <f>IF(C3="","","EB LED Refrigerated Case Lighting (Freezer) - R105")</f>
        <v/>
      </c>
      <c r="F3" s="3" t="str">
        <f t="shared" si="0"/>
        <v/>
      </c>
      <c r="G3" t="str">
        <f>IF(E3="","",Worksheet!F8)</f>
        <v/>
      </c>
      <c r="H3" t="str">
        <f>IF(C3="","",'Customer Information'!$L$40)</f>
        <v/>
      </c>
      <c r="I3" s="3" t="str">
        <f>_xlfn.IFNA(INDEX(References!L$90:L$127,MATCH($E3,References!$J$73:$J$127,0)),"")</f>
        <v/>
      </c>
      <c r="N3" s="49" t="str">
        <f>IF(E3="","",References!#REF!)</f>
        <v/>
      </c>
      <c r="P3" s="49" t="str">
        <f>IF(C3="","",References!#REF!)</f>
        <v/>
      </c>
      <c r="Q3" t="str">
        <f>IF(C3="","",References!$U$90)</f>
        <v/>
      </c>
      <c r="R3" t="str">
        <f>IF(E3="","",References!$T$90)</f>
        <v/>
      </c>
      <c r="S3" s="48" t="str">
        <f>IF(C3="","",References!V91)</f>
        <v/>
      </c>
      <c r="AB3" s="60" t="str">
        <f>IF($C3="","",INDEX(References!N$90:N$127,MATCH($E3,References!$J$73:$J$127,0)))</f>
        <v/>
      </c>
      <c r="AC3" s="62" t="str">
        <f>IF(D3="","",INDEX(References!O$90:O$127,MATCH($E3,References!$J$73:$J$127,0)))</f>
        <v/>
      </c>
      <c r="AD3" s="47" t="str">
        <f>IF(C3="","",1)</f>
        <v/>
      </c>
      <c r="AE3" s="61" t="str">
        <f>IF(AB3="","",AB3*AD3)</f>
        <v/>
      </c>
      <c r="AF3" s="62" t="str">
        <f>IF(AC3="","",AC3*AG3*AD3)</f>
        <v/>
      </c>
      <c r="AG3" s="58" t="str">
        <f>IF(E3="","",References!#REF!)</f>
        <v/>
      </c>
      <c r="AH3" s="59" t="str">
        <f>IF(E3="","",INDEX(References!$AS:$AS,MATCH(ProposedEquipment0!E3,References!$AN:$AN,0)))</f>
        <v/>
      </c>
      <c r="AI3" s="59" t="str">
        <f>IF(E3="","",INDEX(References!$AT:$AT,MATCH(ProposedEquipment0!E3,References!$AN:$AN,0)))</f>
        <v/>
      </c>
      <c r="AJ3" s="59" t="str">
        <f>IF(E3="","",INDEX(References!$AQ:$AQ,MATCH(ProposedEquipment0!E3,References!$AN:$AN,0)))</f>
        <v/>
      </c>
      <c r="AK3" s="59" t="str">
        <f>IF(E3="","",INDEX(References!$AR:$AR,MATCH(ProposedEquipment0!E3,References!$AN:$AN,0)))</f>
        <v/>
      </c>
      <c r="AL3" s="68" t="str">
        <f>IF(E3="","",AB3/(1-AK3)*((1-AH3)*(1+AI3)))</f>
        <v/>
      </c>
      <c r="AM3" s="69" t="str">
        <f>IF(E3="","",(AC3*AG3)/(1-AJ3)*((1-AH3)*(1+AI3)))</f>
        <v/>
      </c>
      <c r="AN3" s="70" t="str">
        <f>IF(E3="","",AL3*G3)</f>
        <v/>
      </c>
      <c r="AO3" s="71" t="str">
        <f>IF(E3="","",AM3*G3)</f>
        <v/>
      </c>
      <c r="AP3" s="53" t="str">
        <f>IF(AN3="","",AN3*3412/1000000)</f>
        <v/>
      </c>
      <c r="AQ3" s="54" t="str">
        <f>IF($C3="","",INDEX(References!P$90:P$127,MATCH($E3,References!$J$73:$J$127,0))*G3)</f>
        <v/>
      </c>
      <c r="AU3" s="44" t="str">
        <f>IF(C3="","",AW3)</f>
        <v/>
      </c>
      <c r="AV3" s="44" t="str">
        <f>IF(C3="","",AW3*G3)</f>
        <v/>
      </c>
      <c r="AW3" s="44" t="str">
        <f>IF(C3="","",INDEX(References!M$90:M$127,MATCH($E3,References!$J$73:$J$127,0)))</f>
        <v/>
      </c>
      <c r="AY3" t="str">
        <f>IF(AE3="","",AE3*G3)</f>
        <v/>
      </c>
      <c r="AZ3" t="str">
        <f>IF(AF3="","",AF3*G3)</f>
        <v/>
      </c>
    </row>
    <row r="4" spans="1:52" ht="15" x14ac:dyDescent="0.25">
      <c r="A4">
        <v>3</v>
      </c>
      <c r="C4" t="str">
        <f>IF(Worksheet!$F$10="","","Refrigeration")</f>
        <v/>
      </c>
      <c r="D4" t="str">
        <f>IF(Worksheet!$F$10="","","Refrigeration Controls")</f>
        <v/>
      </c>
      <c r="E4" t="str">
        <f>IF(Worksheet!$F$10="","","EB Walk In Cooler and Freezer evaporator fan control - R200")</f>
        <v/>
      </c>
      <c r="F4" s="3" t="str">
        <f t="shared" si="0"/>
        <v/>
      </c>
      <c r="G4" t="str">
        <f>IF(E4="","",Worksheet!F10)</f>
        <v/>
      </c>
      <c r="H4" t="str">
        <f>IF(C4="","",'Customer Information'!$L$40)</f>
        <v/>
      </c>
      <c r="I4" s="3" t="str">
        <f>_xlfn.IFNA(INDEX(References!L$90:L$127,MATCH($E4,References!$J$73:$J$127,0)),"")</f>
        <v/>
      </c>
      <c r="N4" s="49"/>
      <c r="P4" s="49"/>
      <c r="S4" s="48"/>
      <c r="AB4" s="60" t="str">
        <f>IF($C4="","",INDEX(References!N$90:N$127,MATCH($E4,References!$J$73:$J$127,0)))</f>
        <v/>
      </c>
      <c r="AC4" s="62" t="str">
        <f>IF(D4="","",INDEX(References!O$90:O$127,MATCH($E4,References!$J$73:$J$127,0)))</f>
        <v/>
      </c>
      <c r="AD4" s="47" t="str">
        <f t="shared" ref="AD4:AD28" si="5">IF(C4="","",1)</f>
        <v/>
      </c>
      <c r="AE4" s="61" t="str">
        <f t="shared" ref="AE4:AE28" si="6">IF(AB4="","",AB4*AD4)</f>
        <v/>
      </c>
      <c r="AF4" s="62" t="str">
        <f t="shared" ref="AF4:AF28" si="7">IF(AC4="","",AC4*AG4*AD4)</f>
        <v/>
      </c>
      <c r="AG4" s="58" t="str">
        <f>IF(E4="","",References!#REF!)</f>
        <v/>
      </c>
      <c r="AH4" s="59" t="str">
        <f>IF(E4="","",INDEX(References!$AS:$AS,MATCH(ProposedEquipment0!E4,References!$AN:$AN,0)))</f>
        <v/>
      </c>
      <c r="AI4" s="59" t="str">
        <f>IF(E4="","",INDEX(References!$AT:$AT,MATCH(ProposedEquipment0!E4,References!$AN:$AN,0)))</f>
        <v/>
      </c>
      <c r="AJ4" s="59" t="str">
        <f>IF(E4="","",INDEX(References!$AQ:$AQ,MATCH(ProposedEquipment0!E4,References!$AN:$AN,0)))</f>
        <v/>
      </c>
      <c r="AK4" s="59" t="str">
        <f>IF(E4="","",INDEX(References!$AR:$AR,MATCH(ProposedEquipment0!E4,References!$AN:$AN,0)))</f>
        <v/>
      </c>
      <c r="AL4" s="68" t="str">
        <f t="shared" ref="AL4:AL28" si="8">IF(E4="","",AB4/(1-AK4)*((1-AH4)*(1+AI4)))</f>
        <v/>
      </c>
      <c r="AM4" s="69" t="str">
        <f t="shared" ref="AM4:AM28" si="9">IF(E4="","",(AC4*AG4)/(1-AJ4)*((1-AH4)*(1+AI4)))</f>
        <v/>
      </c>
      <c r="AN4" s="70" t="str">
        <f t="shared" si="1"/>
        <v/>
      </c>
      <c r="AO4" s="71" t="str">
        <f t="shared" si="2"/>
        <v/>
      </c>
      <c r="AP4" s="53" t="str">
        <f t="shared" ref="AP4:AP28" si="10">IF(AN4="","",AN4*3412/1000000)</f>
        <v/>
      </c>
      <c r="AQ4" s="54" t="str">
        <f>IF($C4="","",INDEX(References!P$90:P$127,MATCH($E4,References!$J$73:$J$127,0))*G4)</f>
        <v/>
      </c>
      <c r="AU4" s="44" t="str">
        <f t="shared" si="3"/>
        <v/>
      </c>
      <c r="AV4" s="44" t="str">
        <f t="shared" si="4"/>
        <v/>
      </c>
      <c r="AW4" s="44" t="str">
        <f>IF(C4="","",INDEX(References!M$90:M$127,MATCH($E4,References!$J$73:$J$127,0)))</f>
        <v/>
      </c>
      <c r="AY4" t="str">
        <f t="shared" ref="AY4:AY28" si="11">IF(AE4="","",AE4*G4)</f>
        <v/>
      </c>
      <c r="AZ4" t="str">
        <f t="shared" ref="AZ4:AZ28" si="12">IF(AF4="","",AF4*G4)</f>
        <v/>
      </c>
    </row>
    <row r="5" spans="1:52" ht="15" x14ac:dyDescent="0.25">
      <c r="A5">
        <v>4</v>
      </c>
      <c r="C5" t="str">
        <f>IF(Worksheet!$F$13="","","Refrigeration")</f>
        <v/>
      </c>
      <c r="D5" t="str">
        <f>IF(Worksheet!$F$13="","","Refrigeration Controls")</f>
        <v/>
      </c>
      <c r="E5" t="str">
        <f>IF(Worksheet!$F$13="","",Worksheet!$C$13)</f>
        <v/>
      </c>
      <c r="F5" s="3" t="str">
        <f t="shared" si="0"/>
        <v/>
      </c>
      <c r="G5" t="str">
        <f>IF(E5="","",Worksheet!F13)</f>
        <v/>
      </c>
      <c r="H5" t="str">
        <f>IF(C5="","",'Customer Information'!$L$40)</f>
        <v/>
      </c>
      <c r="I5" s="3" t="str">
        <f>_xlfn.IFNA(INDEX(References!L$90:L$127,MATCH($E5,References!$J$73:$J$127,0)),"")</f>
        <v/>
      </c>
      <c r="N5" s="49"/>
      <c r="P5" s="49"/>
      <c r="S5" s="48"/>
      <c r="AB5" s="60" t="str">
        <f>IF($C5="","",INDEX(References!N$90:N$127,MATCH($E5,References!$J$73:$J$127,0)))</f>
        <v/>
      </c>
      <c r="AC5" s="62" t="str">
        <f>IF(D5="","",INDEX(References!O$90:O$127,MATCH($E5,References!$J$73:$J$127,0)))</f>
        <v/>
      </c>
      <c r="AD5" s="47" t="str">
        <f t="shared" si="5"/>
        <v/>
      </c>
      <c r="AE5" s="61" t="str">
        <f t="shared" si="6"/>
        <v/>
      </c>
      <c r="AF5" s="62" t="str">
        <f t="shared" si="7"/>
        <v/>
      </c>
      <c r="AG5" s="58" t="str">
        <f>IF(E5="","",References!Q93)</f>
        <v/>
      </c>
      <c r="AH5" s="59" t="str">
        <f>IF(E5="","",INDEX(References!$AS:$AS,MATCH(ProposedEquipment0!E5,References!$AN:$AN,0)))</f>
        <v/>
      </c>
      <c r="AI5" s="59" t="str">
        <f>IF(E5="","",INDEX(References!$AT:$AT,MATCH(ProposedEquipment0!E5,References!$AN:$AN,0)))</f>
        <v/>
      </c>
      <c r="AJ5" s="59" t="str">
        <f>IF(E5="","",INDEX(References!$AQ:$AQ,MATCH(ProposedEquipment0!E5,References!$AN:$AN,0)))</f>
        <v/>
      </c>
      <c r="AK5" s="59" t="str">
        <f>IF(E5="","",INDEX(References!$AR:$AR,MATCH(ProposedEquipment0!E5,References!$AN:$AN,0)))</f>
        <v/>
      </c>
      <c r="AL5" s="68" t="str">
        <f t="shared" si="8"/>
        <v/>
      </c>
      <c r="AM5" s="69" t="str">
        <f t="shared" si="9"/>
        <v/>
      </c>
      <c r="AN5" s="70" t="str">
        <f t="shared" si="1"/>
        <v/>
      </c>
      <c r="AO5" s="71" t="str">
        <f t="shared" si="2"/>
        <v/>
      </c>
      <c r="AP5" s="53" t="str">
        <f t="shared" si="10"/>
        <v/>
      </c>
      <c r="AQ5" s="54" t="str">
        <f>IF($C5="","",INDEX(References!P$90:P$127,MATCH($E5,References!$J$73:$J$127,0))*G5)</f>
        <v/>
      </c>
      <c r="AU5" s="44" t="str">
        <f t="shared" si="3"/>
        <v/>
      </c>
      <c r="AV5" s="44" t="str">
        <f t="shared" si="4"/>
        <v/>
      </c>
      <c r="AW5" s="44" t="str">
        <f>IF(C5="","",INDEX(References!M$90:M$127,MATCH($E5,References!$J$73:$J$127,0)))</f>
        <v/>
      </c>
      <c r="AY5" t="str">
        <f t="shared" si="11"/>
        <v/>
      </c>
      <c r="AZ5" t="str">
        <f t="shared" si="12"/>
        <v/>
      </c>
    </row>
    <row r="6" spans="1:52" ht="15" x14ac:dyDescent="0.25">
      <c r="A6">
        <v>5</v>
      </c>
      <c r="C6" t="str">
        <f>IF(Worksheet!$F$15="","","Refrigeration")</f>
        <v/>
      </c>
      <c r="D6" t="str">
        <f>IF(Worksheet!$F$15="","","Refrigeration Controls")</f>
        <v/>
      </c>
      <c r="E6" t="str">
        <f>IF(Worksheet!$F$15="","",Worksheet!$C$15)</f>
        <v/>
      </c>
      <c r="F6" s="3" t="str">
        <f t="shared" si="0"/>
        <v/>
      </c>
      <c r="G6" s="7" t="str">
        <f>IF(E6="","",IF(ISNUMBER(Worksheet!F17),Worksheet!F17,Worksheet!H17))</f>
        <v/>
      </c>
      <c r="H6" t="str">
        <f>IF(C6="","",'Customer Information'!$L$40)</f>
        <v/>
      </c>
      <c r="I6" s="3" t="str">
        <f>_xlfn.IFNA(INDEX(References!L$90:L$127,MATCH($E6,References!$J$73:$J$127,0)),"")</f>
        <v/>
      </c>
      <c r="N6" s="49"/>
      <c r="P6" s="49"/>
      <c r="S6" s="48"/>
      <c r="AB6" s="60" t="str">
        <f>IF($C6="","",INDEX(References!N$90:N$127,MATCH($E6,References!$J$73:$J$127,0)))</f>
        <v/>
      </c>
      <c r="AC6" s="62" t="str">
        <f>IF(D6="","",INDEX(References!O$90:O$127,MATCH($E6,References!$J$73:$J$127,0)))</f>
        <v/>
      </c>
      <c r="AD6" s="47" t="str">
        <f t="shared" si="5"/>
        <v/>
      </c>
      <c r="AE6" s="61" t="str">
        <f t="shared" si="6"/>
        <v/>
      </c>
      <c r="AF6" s="62" t="str">
        <f t="shared" si="7"/>
        <v/>
      </c>
      <c r="AG6" s="58" t="str">
        <f>IF(E6="","",References!Q94)</f>
        <v/>
      </c>
      <c r="AH6" s="59" t="str">
        <f>IF(E6="","",INDEX(References!$AS:$AS,MATCH(ProposedEquipment0!E6,References!$AN:$AN,0)))</f>
        <v/>
      </c>
      <c r="AI6" s="59" t="str">
        <f>IF(E6="","",INDEX(References!$AT:$AT,MATCH(ProposedEquipment0!E6,References!$AN:$AN,0)))</f>
        <v/>
      </c>
      <c r="AJ6" s="59" t="str">
        <f>IF(E6="","",INDEX(References!$AQ:$AQ,MATCH(ProposedEquipment0!E6,References!$AN:$AN,0)))</f>
        <v/>
      </c>
      <c r="AK6" s="59" t="str">
        <f>IF(E6="","",INDEX(References!$AR:$AR,MATCH(ProposedEquipment0!E6,References!$AN:$AN,0)))</f>
        <v/>
      </c>
      <c r="AL6" s="68" t="str">
        <f t="shared" si="8"/>
        <v/>
      </c>
      <c r="AM6" s="69" t="str">
        <f t="shared" si="9"/>
        <v/>
      </c>
      <c r="AN6" s="70" t="str">
        <f>IF(E6="","",AL6*G6)</f>
        <v/>
      </c>
      <c r="AO6" s="71" t="str">
        <f t="shared" si="2"/>
        <v/>
      </c>
      <c r="AP6" s="53" t="str">
        <f t="shared" si="10"/>
        <v/>
      </c>
      <c r="AQ6" s="54" t="str">
        <f>IF($C6="","",INDEX(References!P$90:P$127,MATCH($E6,References!$J$73:$J$127,0))*G6)</f>
        <v/>
      </c>
      <c r="AU6" s="44" t="str">
        <f t="shared" si="3"/>
        <v/>
      </c>
      <c r="AV6" s="44" t="str">
        <f t="shared" si="4"/>
        <v/>
      </c>
      <c r="AW6" s="44" t="str">
        <f>IF(C6="","",INDEX(References!M$90:M$127,MATCH($E6,References!$J$73:$J$127,0)))</f>
        <v/>
      </c>
      <c r="AY6" t="str">
        <f t="shared" si="11"/>
        <v/>
      </c>
      <c r="AZ6" t="str">
        <f t="shared" si="12"/>
        <v/>
      </c>
    </row>
    <row r="7" spans="1:52" ht="15" x14ac:dyDescent="0.25">
      <c r="A7">
        <v>6</v>
      </c>
      <c r="C7" t="str">
        <f>IF(Worksheet!F20="","","Refrigeration")</f>
        <v/>
      </c>
      <c r="D7" t="str">
        <f>IF(C7="","","ECM")</f>
        <v/>
      </c>
      <c r="E7" t="str">
        <f>IF(D7="","","EB ECM in Walk In Cooler - R300")</f>
        <v/>
      </c>
      <c r="F7" s="3" t="str">
        <f t="shared" si="0"/>
        <v/>
      </c>
      <c r="G7" t="str">
        <f>IF(E7="","",Worksheet!F20)</f>
        <v/>
      </c>
      <c r="H7" t="str">
        <f>IF(C7="","",'Customer Information'!$L$40)</f>
        <v/>
      </c>
      <c r="I7" s="3" t="str">
        <f>_xlfn.IFNA(INDEX(References!L$90:L$127,MATCH($E7,References!$J$73:$J$127,0)),"")</f>
        <v/>
      </c>
      <c r="N7" s="49"/>
      <c r="P7" s="49"/>
      <c r="S7" s="48"/>
      <c r="AB7" s="60" t="str">
        <f>IF($C7="","",INDEX(References!N$90:N$127,MATCH($E7,References!$J$73:$J$127,0)))</f>
        <v/>
      </c>
      <c r="AC7" s="62" t="str">
        <f>IF(D7="","",INDEX(References!O$90:O$127,MATCH($E7,References!$J$73:$J$127,0)))</f>
        <v/>
      </c>
      <c r="AD7" s="47" t="str">
        <f t="shared" si="5"/>
        <v/>
      </c>
      <c r="AE7" s="61" t="str">
        <f t="shared" si="6"/>
        <v/>
      </c>
      <c r="AF7" s="62" t="str">
        <f t="shared" si="7"/>
        <v/>
      </c>
      <c r="AG7" s="58" t="str">
        <f>IF(E7="","",References!#REF!)</f>
        <v/>
      </c>
      <c r="AH7" s="59" t="str">
        <f>IF(E7="","",INDEX(References!$AS:$AS,MATCH(ProposedEquipment0!E7,References!$AN:$AN,0)))</f>
        <v/>
      </c>
      <c r="AI7" s="59" t="str">
        <f>IF(E7="","",INDEX(References!$AT:$AT,MATCH(ProposedEquipment0!E7,References!$AN:$AN,0)))</f>
        <v/>
      </c>
      <c r="AJ7" s="59" t="str">
        <f>IF(E7="","",INDEX(References!$AQ:$AQ,MATCH(ProposedEquipment0!E7,References!$AN:$AN,0)))</f>
        <v/>
      </c>
      <c r="AK7" s="59" t="str">
        <f>IF(E7="","",INDEX(References!$AR:$AR,MATCH(ProposedEquipment0!E7,References!$AN:$AN,0)))</f>
        <v/>
      </c>
      <c r="AL7" s="68" t="str">
        <f t="shared" si="8"/>
        <v/>
      </c>
      <c r="AM7" s="69" t="str">
        <f t="shared" si="9"/>
        <v/>
      </c>
      <c r="AN7" s="70" t="str">
        <f t="shared" si="1"/>
        <v/>
      </c>
      <c r="AO7" s="71" t="str">
        <f t="shared" si="2"/>
        <v/>
      </c>
      <c r="AP7" s="53" t="str">
        <f t="shared" si="10"/>
        <v/>
      </c>
      <c r="AQ7" s="54" t="str">
        <f>IF($C7="","",INDEX(References!P$90:P$127,MATCH($E7,References!$J$73:$J$127,0))*G7)</f>
        <v/>
      </c>
      <c r="AU7" s="44" t="str">
        <f t="shared" si="3"/>
        <v/>
      </c>
      <c r="AV7" s="44" t="str">
        <f t="shared" si="4"/>
        <v/>
      </c>
      <c r="AW7" s="44" t="str">
        <f>IF(C7="","",INDEX(References!M$90:M$127,MATCH($E7,References!$J$73:$J$127,0)))</f>
        <v/>
      </c>
      <c r="AY7" t="str">
        <f t="shared" si="11"/>
        <v/>
      </c>
      <c r="AZ7" t="str">
        <f t="shared" si="12"/>
        <v/>
      </c>
    </row>
    <row r="8" spans="1:52" ht="15" x14ac:dyDescent="0.25">
      <c r="A8">
        <v>7</v>
      </c>
      <c r="C8" t="str">
        <f>IF(Worksheet!F21="","","Refrigeration")</f>
        <v/>
      </c>
      <c r="D8" t="str">
        <f>IF(C8="","","ECM")</f>
        <v/>
      </c>
      <c r="E8" t="str">
        <f>IF(D8="","","EB ECM in Walk In Case - R300-N")</f>
        <v/>
      </c>
      <c r="F8" s="3" t="str">
        <f>IF(E8="","",RIGHT(E8,6))</f>
        <v/>
      </c>
      <c r="G8" t="str">
        <f>IF(E8="","",Worksheet!F21)</f>
        <v/>
      </c>
      <c r="H8" t="str">
        <f>IF(C8="","",'Customer Information'!$L$40)</f>
        <v/>
      </c>
      <c r="I8" s="3" t="str">
        <f>_xlfn.IFNA(INDEX(References!L$90:L$127,MATCH($E8,References!$J$73:$J$127,0)),"")</f>
        <v/>
      </c>
      <c r="N8" s="49"/>
      <c r="P8" s="49"/>
      <c r="S8" s="48"/>
      <c r="AB8" s="60" t="str">
        <f>IF($C8="","",INDEX(References!N$90:N$127,MATCH($E8,References!$J$73:$J$127,0)))</f>
        <v/>
      </c>
      <c r="AC8" s="62" t="str">
        <f>IF(D8="","",INDEX(References!O$90:O$127,MATCH($E8,References!$J$73:$J$127,0)))</f>
        <v/>
      </c>
      <c r="AD8" s="47" t="str">
        <f t="shared" si="5"/>
        <v/>
      </c>
      <c r="AE8" s="61" t="str">
        <f t="shared" si="6"/>
        <v/>
      </c>
      <c r="AF8" s="62" t="str">
        <f t="shared" si="7"/>
        <v/>
      </c>
      <c r="AG8" s="58" t="str">
        <f>IF(E8="","",References!#REF!)</f>
        <v/>
      </c>
      <c r="AH8" s="59" t="str">
        <f>IF(E8="","",INDEX(References!$AS:$AS,MATCH(ProposedEquipment0!E8,References!$AN:$AN,0)))</f>
        <v/>
      </c>
      <c r="AI8" s="59" t="str">
        <f>IF(E8="","",INDEX(References!$AT:$AT,MATCH(ProposedEquipment0!E8,References!$AN:$AN,0)))</f>
        <v/>
      </c>
      <c r="AJ8" s="59" t="str">
        <f>IF(E8="","",INDEX(References!$AQ:$AQ,MATCH(ProposedEquipment0!E8,References!$AN:$AN,0)))</f>
        <v/>
      </c>
      <c r="AK8" s="59" t="str">
        <f>IF(E8="","",INDEX(References!$AR:$AR,MATCH(ProposedEquipment0!E8,References!$AN:$AN,0)))</f>
        <v/>
      </c>
      <c r="AL8" s="68" t="str">
        <f t="shared" si="8"/>
        <v/>
      </c>
      <c r="AM8" s="69" t="str">
        <f t="shared" si="9"/>
        <v/>
      </c>
      <c r="AN8" s="70" t="str">
        <f t="shared" si="1"/>
        <v/>
      </c>
      <c r="AO8" s="71" t="str">
        <f t="shared" si="2"/>
        <v/>
      </c>
      <c r="AP8" s="53" t="str">
        <f t="shared" si="10"/>
        <v/>
      </c>
      <c r="AQ8" s="54" t="str">
        <f>IF($C8="","",INDEX(References!P$90:P$127,MATCH($E8,References!$J$73:$J$127,0))*G8)</f>
        <v/>
      </c>
      <c r="AU8" s="44" t="str">
        <f t="shared" si="3"/>
        <v/>
      </c>
      <c r="AV8" s="44" t="str">
        <f t="shared" si="4"/>
        <v/>
      </c>
      <c r="AW8" s="44" t="str">
        <f>IF(C8="","",INDEX(References!M$90:M$127,MATCH($E8,References!$J$73:$J$127,0)))</f>
        <v/>
      </c>
      <c r="AY8" t="str">
        <f t="shared" si="11"/>
        <v/>
      </c>
      <c r="AZ8" t="str">
        <f t="shared" si="12"/>
        <v/>
      </c>
    </row>
    <row r="9" spans="1:52" ht="15" x14ac:dyDescent="0.25">
      <c r="A9">
        <v>8</v>
      </c>
      <c r="C9" t="str">
        <f>IF(Worksheet!F22="","","Refrigeration")</f>
        <v/>
      </c>
      <c r="D9" t="str">
        <f>IF(C9="","","ECM")</f>
        <v/>
      </c>
      <c r="E9" t="str">
        <f>IF(D9="","","EB ECM in Walk In Case - R310")</f>
        <v/>
      </c>
      <c r="F9" s="3" t="str">
        <f>IF(E9="","",RIGHT(E9,4))</f>
        <v/>
      </c>
      <c r="G9" t="str">
        <f>IF(E9="","",Worksheet!F22)</f>
        <v/>
      </c>
      <c r="H9" t="str">
        <f>IF(C9="","",'Customer Information'!$L$40)</f>
        <v/>
      </c>
      <c r="I9" s="3" t="str">
        <f>_xlfn.IFNA(INDEX(References!L$90:L$127,MATCH($E9,References!$J$73:$J$127,0)),"")</f>
        <v/>
      </c>
      <c r="N9" s="49"/>
      <c r="P9" s="49"/>
      <c r="S9" s="48"/>
      <c r="AB9" s="60" t="str">
        <f>IF($C9="","",INDEX(References!N$90:N$127,MATCH($E9,References!$J$73:$J$127,0)))</f>
        <v/>
      </c>
      <c r="AC9" s="62" t="str">
        <f>IF(D9="","",INDEX(References!O$90:O$127,MATCH($E9,References!$J$73:$J$127,0)))</f>
        <v/>
      </c>
      <c r="AD9" s="47" t="str">
        <f t="shared" si="5"/>
        <v/>
      </c>
      <c r="AE9" s="61" t="str">
        <f t="shared" si="6"/>
        <v/>
      </c>
      <c r="AF9" s="62" t="str">
        <f t="shared" si="7"/>
        <v/>
      </c>
      <c r="AG9" s="58" t="str">
        <f>IF(E9="","",References!#REF!)</f>
        <v/>
      </c>
      <c r="AH9" s="59" t="str">
        <f>IF(E9="","",INDEX(References!$AS:$AS,MATCH(ProposedEquipment0!E9,References!$AN:$AN,0)))</f>
        <v/>
      </c>
      <c r="AI9" s="59" t="str">
        <f>IF(E9="","",INDEX(References!$AT:$AT,MATCH(ProposedEquipment0!E9,References!$AN:$AN,0)))</f>
        <v/>
      </c>
      <c r="AJ9" s="59" t="str">
        <f>IF(E9="","",INDEX(References!$AQ:$AQ,MATCH(ProposedEquipment0!E9,References!$AN:$AN,0)))</f>
        <v/>
      </c>
      <c r="AK9" s="59" t="str">
        <f>IF(E9="","",INDEX(References!$AR:$AR,MATCH(ProposedEquipment0!E9,References!$AN:$AN,0)))</f>
        <v/>
      </c>
      <c r="AL9" s="68" t="str">
        <f t="shared" si="8"/>
        <v/>
      </c>
      <c r="AM9" s="69" t="str">
        <f t="shared" si="9"/>
        <v/>
      </c>
      <c r="AN9" s="70" t="str">
        <f t="shared" si="1"/>
        <v/>
      </c>
      <c r="AO9" s="71" t="str">
        <f t="shared" si="2"/>
        <v/>
      </c>
      <c r="AP9" s="53" t="str">
        <f t="shared" si="10"/>
        <v/>
      </c>
      <c r="AQ9" s="54" t="str">
        <f>IF($C9="","",INDEX(References!P$90:P$127,MATCH($E9,References!$J$73:$J$127,0))*G9)</f>
        <v/>
      </c>
      <c r="AU9" s="44" t="str">
        <f t="shared" si="3"/>
        <v/>
      </c>
      <c r="AV9" s="44" t="str">
        <f t="shared" si="4"/>
        <v/>
      </c>
      <c r="AW9" s="44" t="str">
        <f>IF(C9="","",INDEX(References!M$90:M$127,MATCH($E9,References!$J$73:$J$127,0)))</f>
        <v/>
      </c>
      <c r="AY9" t="str">
        <f t="shared" si="11"/>
        <v/>
      </c>
      <c r="AZ9" t="str">
        <f t="shared" si="12"/>
        <v/>
      </c>
    </row>
    <row r="10" spans="1:52" ht="15" x14ac:dyDescent="0.25">
      <c r="A10">
        <v>9</v>
      </c>
      <c r="C10" t="str">
        <f>IF(Worksheet!F23="","","Refrigeration")</f>
        <v/>
      </c>
      <c r="D10" t="str">
        <f>IF(C10="","","ECM")</f>
        <v/>
      </c>
      <c r="E10" t="str">
        <f>IF(D10="","","EB ECM in Walk In Case - R310-N")</f>
        <v/>
      </c>
      <c r="F10" s="3" t="str">
        <f>IF(E10="","",RIGHT(E10,6))</f>
        <v/>
      </c>
      <c r="G10" t="str">
        <f>IF(E10="","",Worksheet!F23)</f>
        <v/>
      </c>
      <c r="H10" t="str">
        <f>IF(C10="","",'Customer Information'!$L$40)</f>
        <v/>
      </c>
      <c r="I10" s="3" t="str">
        <f>_xlfn.IFNA(INDEX(References!L$90:L$127,MATCH($E10,References!$J$73:$J$127,0)),"")</f>
        <v/>
      </c>
      <c r="N10" s="49"/>
      <c r="P10" s="49"/>
      <c r="S10" s="48"/>
      <c r="AB10" s="60" t="str">
        <f>IF($C10="","",INDEX(References!N$90:N$127,MATCH($E10,References!$J$73:$J$127,0)))</f>
        <v/>
      </c>
      <c r="AC10" s="62" t="str">
        <f>IF(D10="","",INDEX(References!O$90:O$127,MATCH($E10,References!$J$73:$J$127,0)))</f>
        <v/>
      </c>
      <c r="AD10" s="47" t="str">
        <f t="shared" si="5"/>
        <v/>
      </c>
      <c r="AE10" s="61" t="str">
        <f t="shared" si="6"/>
        <v/>
      </c>
      <c r="AF10" s="62" t="str">
        <f t="shared" si="7"/>
        <v/>
      </c>
      <c r="AG10" s="58" t="str">
        <f>IF(E10="","",References!Q98)</f>
        <v/>
      </c>
      <c r="AH10" s="59" t="str">
        <f>IF(E10="","",INDEX(References!$AS:$AS,MATCH(ProposedEquipment0!E10,References!$AN:$AN,0)))</f>
        <v/>
      </c>
      <c r="AI10" s="59" t="str">
        <f>IF(E10="","",INDEX(References!$AT:$AT,MATCH(ProposedEquipment0!E10,References!$AN:$AN,0)))</f>
        <v/>
      </c>
      <c r="AJ10" s="59" t="str">
        <f>IF(E10="","",INDEX(References!$AQ:$AQ,MATCH(ProposedEquipment0!E10,References!$AN:$AN,0)))</f>
        <v/>
      </c>
      <c r="AK10" s="59" t="str">
        <f>IF(E10="","",INDEX(References!$AR:$AR,MATCH(ProposedEquipment0!E10,References!$AN:$AN,0)))</f>
        <v/>
      </c>
      <c r="AL10" s="68" t="str">
        <f t="shared" si="8"/>
        <v/>
      </c>
      <c r="AM10" s="69" t="str">
        <f t="shared" si="9"/>
        <v/>
      </c>
      <c r="AN10" s="70" t="str">
        <f t="shared" si="1"/>
        <v/>
      </c>
      <c r="AO10" s="71" t="str">
        <f t="shared" si="2"/>
        <v/>
      </c>
      <c r="AP10" s="53" t="str">
        <f t="shared" si="10"/>
        <v/>
      </c>
      <c r="AQ10" s="54" t="str">
        <f>IF($C10="","",INDEX(References!P$90:P$127,MATCH($E10,References!$J$73:$J$127,0))*G10)</f>
        <v/>
      </c>
      <c r="AU10" s="44" t="str">
        <f t="shared" si="3"/>
        <v/>
      </c>
      <c r="AV10" s="44" t="str">
        <f t="shared" si="4"/>
        <v/>
      </c>
      <c r="AW10" s="44" t="str">
        <f>IF(C10="","",INDEX(References!M$90:M$127,MATCH($E10,References!$J$73:$J$127,0)))</f>
        <v/>
      </c>
      <c r="AY10" t="str">
        <f t="shared" si="11"/>
        <v/>
      </c>
      <c r="AZ10" t="str">
        <f t="shared" si="12"/>
        <v/>
      </c>
    </row>
    <row r="11" spans="1:52" ht="15" x14ac:dyDescent="0.25">
      <c r="A11">
        <v>10</v>
      </c>
      <c r="C11" t="str">
        <f>IF(Worksheet!$F25="","","Refrigeration")</f>
        <v/>
      </c>
      <c r="D11" t="str">
        <f>IF(Worksheet!$F25="","","Refrigeration Controls")</f>
        <v/>
      </c>
      <c r="E11" t="str">
        <f>IF(Worksheet!$F25="","","EB Anti-Sweat Heater Controls - R400")</f>
        <v/>
      </c>
      <c r="F11" s="3" t="str">
        <f>IF(E11="","",RIGHT(E11,4))</f>
        <v/>
      </c>
      <c r="G11" t="str">
        <f>IF(E11="","",Worksheet!F25)</f>
        <v/>
      </c>
      <c r="H11" t="str">
        <f>IF(C11="","",'Customer Information'!$L$40)</f>
        <v/>
      </c>
      <c r="I11" s="3" t="str">
        <f>_xlfn.IFNA(INDEX(References!L$90:L$127,MATCH($E11,References!$J$73:$J$127,0)),"")</f>
        <v/>
      </c>
      <c r="N11" s="49"/>
      <c r="P11" s="49"/>
      <c r="S11" s="48"/>
      <c r="AB11" s="60" t="str">
        <f>IF($C11="","",INDEX(References!N$90:N$127,MATCH($E11,References!$J$73:$J$127,0)))</f>
        <v/>
      </c>
      <c r="AC11" s="62" t="str">
        <f>IF(D11="","",INDEX(References!O$90:O$127,MATCH($E11,References!$J$73:$J$127,0)))</f>
        <v/>
      </c>
      <c r="AD11" s="47" t="str">
        <f t="shared" si="5"/>
        <v/>
      </c>
      <c r="AE11" s="61" t="str">
        <f t="shared" si="6"/>
        <v/>
      </c>
      <c r="AF11" s="62" t="str">
        <f t="shared" si="7"/>
        <v/>
      </c>
      <c r="AG11" s="58" t="str">
        <f>IF(E11="","",References!Q99)</f>
        <v/>
      </c>
      <c r="AH11" s="59" t="str">
        <f>IF(E11="","",INDEX(References!$AS:$AS,MATCH(ProposedEquipment0!E11,References!$AN:$AN,0)))</f>
        <v/>
      </c>
      <c r="AI11" s="59" t="str">
        <f>IF(E11="","",INDEX(References!$AT:$AT,MATCH(ProposedEquipment0!E11,References!$AN:$AN,0)))</f>
        <v/>
      </c>
      <c r="AJ11" s="59" t="str">
        <f>IF(E11="","",INDEX(References!$AQ:$AQ,MATCH(ProposedEquipment0!E11,References!$AN:$AN,0)))</f>
        <v/>
      </c>
      <c r="AK11" s="59" t="str">
        <f>IF(E11="","",INDEX(References!$AR:$AR,MATCH(ProposedEquipment0!E11,References!$AN:$AN,0)))</f>
        <v/>
      </c>
      <c r="AL11" s="68" t="str">
        <f t="shared" si="8"/>
        <v/>
      </c>
      <c r="AM11" s="69" t="str">
        <f t="shared" si="9"/>
        <v/>
      </c>
      <c r="AN11" s="70" t="str">
        <f t="shared" si="1"/>
        <v/>
      </c>
      <c r="AO11" s="71" t="str">
        <f t="shared" si="2"/>
        <v/>
      </c>
      <c r="AP11" s="53" t="str">
        <f t="shared" si="10"/>
        <v/>
      </c>
      <c r="AQ11" s="54" t="str">
        <f>IF($C11="","",INDEX(References!P$90:P$127,MATCH($E11,References!$J$73:$J$127,0))*G11)</f>
        <v/>
      </c>
      <c r="AU11" s="44" t="str">
        <f t="shared" si="3"/>
        <v/>
      </c>
      <c r="AV11" s="44" t="str">
        <f t="shared" si="4"/>
        <v/>
      </c>
      <c r="AW11" s="44" t="str">
        <f>IF(C11="","",INDEX(References!M$90:M$127,MATCH($E11,References!$J$73:$J$127,0)))</f>
        <v/>
      </c>
      <c r="AY11" t="str">
        <f t="shared" si="11"/>
        <v/>
      </c>
      <c r="AZ11" t="str">
        <f t="shared" si="12"/>
        <v/>
      </c>
    </row>
    <row r="12" spans="1:52" ht="15" x14ac:dyDescent="0.25">
      <c r="A12">
        <v>11</v>
      </c>
      <c r="C12" t="str">
        <f>IF(Worksheet!$F27="","","Refrigeration")</f>
        <v/>
      </c>
      <c r="D12" t="str">
        <f>IF(Worksheet!$F27="","","Refrigeration")</f>
        <v/>
      </c>
      <c r="E12" t="str">
        <f>IF(Worksheet!$F27="","",Worksheet!$C27)</f>
        <v/>
      </c>
      <c r="F12" s="3" t="str">
        <f t="shared" ref="F12:F28" si="13">IF(E12="","",RIGHT(E12,4))</f>
        <v/>
      </c>
      <c r="G12" t="str">
        <f>IF(E12="","",Worksheet!F27)</f>
        <v/>
      </c>
      <c r="H12" t="str">
        <f>IF(C12="","",'Customer Information'!$L$40)</f>
        <v/>
      </c>
      <c r="I12" s="3" t="str">
        <f>_xlfn.IFNA(INDEX(References!L$90:L$127,MATCH($E12,References!$J$73:$J$127,0)),"")</f>
        <v/>
      </c>
      <c r="J12" s="48" t="str">
        <f>IF($E12="","",References!Q102)</f>
        <v/>
      </c>
      <c r="K12" s="48" t="str">
        <f>IF($E12="","",References!T102)</f>
        <v/>
      </c>
      <c r="L12" s="48" t="str">
        <f>IF($E12="","",References!U102)</f>
        <v/>
      </c>
      <c r="M12" s="48" t="str">
        <f>IF($E12="","",References!S102)</f>
        <v/>
      </c>
      <c r="N12" s="49"/>
      <c r="P12" s="49"/>
      <c r="S12" s="48"/>
      <c r="AB12" s="60" t="str">
        <f>IF($C12="","",INDEX(References!N$90:N$127,MATCH($E12,References!$J$73:$J$127,0)))</f>
        <v/>
      </c>
      <c r="AC12" s="62" t="str">
        <f>IF(D12="","",INDEX(References!O$90:O$127,MATCH($E12,References!$J$73:$J$127,0)))</f>
        <v/>
      </c>
      <c r="AD12" s="47" t="str">
        <f t="shared" si="5"/>
        <v/>
      </c>
      <c r="AE12" s="61" t="str">
        <f t="shared" si="6"/>
        <v/>
      </c>
      <c r="AF12" s="62" t="str">
        <f t="shared" si="7"/>
        <v/>
      </c>
      <c r="AG12" s="58" t="str">
        <f>IF(E12="","",References!R102)</f>
        <v/>
      </c>
      <c r="AH12" s="59" t="str">
        <f>IF(E12="","",INDEX(References!$AS:$AS,MATCH(ProposedEquipment0!E12,References!$AN:$AN,0)))</f>
        <v/>
      </c>
      <c r="AI12" s="59" t="str">
        <f>IF(E12="","",INDEX(References!$AT:$AT,MATCH(ProposedEquipment0!E12,References!$AN:$AN,0)))</f>
        <v/>
      </c>
      <c r="AJ12" s="59" t="str">
        <f>IF(E12="","",INDEX(References!$AQ:$AQ,MATCH(ProposedEquipment0!E12,References!$AN:$AN,0)))</f>
        <v/>
      </c>
      <c r="AK12" s="59" t="str">
        <f>IF(E12="","",INDEX(References!$AR:$AR,MATCH(ProposedEquipment0!E12,References!$AN:$AN,0)))</f>
        <v/>
      </c>
      <c r="AL12" s="68" t="str">
        <f t="shared" si="8"/>
        <v/>
      </c>
      <c r="AM12" s="69" t="str">
        <f t="shared" si="9"/>
        <v/>
      </c>
      <c r="AN12" s="70" t="str">
        <f t="shared" si="1"/>
        <v/>
      </c>
      <c r="AO12" s="71" t="str">
        <f t="shared" si="2"/>
        <v/>
      </c>
      <c r="AP12" s="53" t="str">
        <f t="shared" si="10"/>
        <v/>
      </c>
      <c r="AQ12" s="54" t="str">
        <f>IF($C12="","",INDEX(References!P$90:P$127,MATCH($E12,References!$J$73:$J$127,0))*G12)</f>
        <v/>
      </c>
      <c r="AU12" s="44" t="str">
        <f t="shared" si="3"/>
        <v/>
      </c>
      <c r="AV12" s="44" t="str">
        <f t="shared" si="4"/>
        <v/>
      </c>
      <c r="AW12" s="44" t="str">
        <f>IF(C12="","",INDEX(References!M$90:M$127,MATCH($E12,References!$J$73:$J$127,0)))</f>
        <v/>
      </c>
      <c r="AY12" t="str">
        <f t="shared" si="11"/>
        <v/>
      </c>
      <c r="AZ12" t="str">
        <f t="shared" si="12"/>
        <v/>
      </c>
    </row>
    <row r="13" spans="1:52" ht="15" x14ac:dyDescent="0.25">
      <c r="A13">
        <v>12</v>
      </c>
      <c r="C13" t="str">
        <f>IF(Worksheet!$F28="","","Refrigeration")</f>
        <v/>
      </c>
      <c r="D13" t="str">
        <f>IF(Worksheet!$F28="","","Refrigeration")</f>
        <v/>
      </c>
      <c r="E13" t="str">
        <f>IF(Worksheet!$F28="","",Worksheet!$C28)</f>
        <v/>
      </c>
      <c r="F13" s="3" t="str">
        <f t="shared" si="13"/>
        <v/>
      </c>
      <c r="G13" t="str">
        <f>IF(E13="","",Worksheet!F28)</f>
        <v/>
      </c>
      <c r="H13" t="str">
        <f>IF(C13="","",'Customer Information'!$L$40)</f>
        <v/>
      </c>
      <c r="I13" s="3" t="str">
        <f>_xlfn.IFNA(INDEX(References!L$90:L$127,MATCH($E13,References!$J$73:$J$127,0)),"")</f>
        <v/>
      </c>
      <c r="J13" s="48" t="str">
        <f>IF($E13="","",References!Q103)</f>
        <v/>
      </c>
      <c r="K13" s="48" t="str">
        <f>IF($E13="","",References!T103)</f>
        <v/>
      </c>
      <c r="L13" s="48" t="str">
        <f>IF($E13="","",References!U103)</f>
        <v/>
      </c>
      <c r="M13" s="48" t="str">
        <f>IF($E13="","",References!S103)</f>
        <v/>
      </c>
      <c r="N13" s="49"/>
      <c r="P13" s="49"/>
      <c r="S13" s="48"/>
      <c r="AB13" s="60" t="str">
        <f>IF($C13="","",INDEX(References!N$90:N$127,MATCH($E13,References!$J$73:$J$127,0)))</f>
        <v/>
      </c>
      <c r="AC13" s="62" t="str">
        <f>IF(D13="","",INDEX(References!O$90:O$127,MATCH($E13,References!$J$73:$J$127,0)))</f>
        <v/>
      </c>
      <c r="AD13" s="47" t="str">
        <f t="shared" si="5"/>
        <v/>
      </c>
      <c r="AE13" s="61" t="str">
        <f t="shared" si="6"/>
        <v/>
      </c>
      <c r="AF13" s="62" t="str">
        <f t="shared" si="7"/>
        <v/>
      </c>
      <c r="AG13" s="58" t="str">
        <f>IF(E13="","",References!R103)</f>
        <v/>
      </c>
      <c r="AH13" s="59" t="str">
        <f>IF(E13="","",INDEX(References!$AS:$AS,MATCH(ProposedEquipment0!E13,References!$AN:$AN,0)))</f>
        <v/>
      </c>
      <c r="AI13" s="59" t="str">
        <f>IF(E13="","",INDEX(References!$AT:$AT,MATCH(ProposedEquipment0!E13,References!$AN:$AN,0)))</f>
        <v/>
      </c>
      <c r="AJ13" s="59" t="str">
        <f>IF(E13="","",INDEX(References!$AQ:$AQ,MATCH(ProposedEquipment0!E13,References!$AN:$AN,0)))</f>
        <v/>
      </c>
      <c r="AK13" s="59" t="str">
        <f>IF(E13="","",INDEX(References!$AR:$AR,MATCH(ProposedEquipment0!E13,References!$AN:$AN,0)))</f>
        <v/>
      </c>
      <c r="AL13" s="68" t="str">
        <f t="shared" si="8"/>
        <v/>
      </c>
      <c r="AM13" s="69" t="str">
        <f t="shared" si="9"/>
        <v/>
      </c>
      <c r="AN13" s="70" t="str">
        <f t="shared" si="1"/>
        <v/>
      </c>
      <c r="AO13" s="71" t="str">
        <f t="shared" si="2"/>
        <v/>
      </c>
      <c r="AP13" s="53" t="str">
        <f t="shared" si="10"/>
        <v/>
      </c>
      <c r="AQ13" s="54" t="str">
        <f>IF($C13="","",INDEX(References!P$90:P$127,MATCH($E13,References!$J$73:$J$127,0))*G13)</f>
        <v/>
      </c>
      <c r="AU13" s="44" t="str">
        <f t="shared" si="3"/>
        <v/>
      </c>
      <c r="AV13" s="44" t="str">
        <f t="shared" si="4"/>
        <v/>
      </c>
      <c r="AW13" s="44" t="str">
        <f>IF(C13="","",INDEX(References!M$90:M$127,MATCH($E13,References!$J$73:$J$127,0)))</f>
        <v/>
      </c>
      <c r="AY13" t="str">
        <f t="shared" si="11"/>
        <v/>
      </c>
      <c r="AZ13" t="str">
        <f t="shared" si="12"/>
        <v/>
      </c>
    </row>
    <row r="14" spans="1:52" ht="15" x14ac:dyDescent="0.25">
      <c r="A14">
        <v>13</v>
      </c>
      <c r="C14" t="str">
        <f>IF(Worksheet!$F29="","","Refrigeration")</f>
        <v/>
      </c>
      <c r="D14" t="str">
        <f>IF(Worksheet!$F29="","","Refrigeration")</f>
        <v/>
      </c>
      <c r="E14" t="str">
        <f>IF(Worksheet!$F29="","",Worksheet!$C29)</f>
        <v/>
      </c>
      <c r="F14" s="3" t="str">
        <f t="shared" si="13"/>
        <v/>
      </c>
      <c r="G14" t="str">
        <f>IF(E14="","",Worksheet!F29)</f>
        <v/>
      </c>
      <c r="H14" t="str">
        <f>IF(C14="","",'Customer Information'!$L$40)</f>
        <v/>
      </c>
      <c r="I14" s="3" t="str">
        <f>_xlfn.IFNA(INDEX(References!L$90:L$127,MATCH($E14,References!$J$73:$J$127,0)),"")</f>
        <v/>
      </c>
      <c r="J14" s="48" t="str">
        <f>IF($E14="","",References!Q104)</f>
        <v/>
      </c>
      <c r="K14" s="48" t="str">
        <f>IF($E14="","",References!T104)</f>
        <v/>
      </c>
      <c r="L14" s="48" t="str">
        <f>IF($E14="","",References!U104)</f>
        <v/>
      </c>
      <c r="M14" s="48" t="str">
        <f>IF($E14="","",References!S104)</f>
        <v/>
      </c>
      <c r="N14" s="49"/>
      <c r="P14" s="49"/>
      <c r="S14" s="48"/>
      <c r="AB14" s="60" t="str">
        <f>IF($C14="","",INDEX(References!N$90:N$127,MATCH($E14,References!$J$73:$J$127,0)))</f>
        <v/>
      </c>
      <c r="AC14" s="62" t="str">
        <f>IF(D14="","",INDEX(References!O$90:O$127,MATCH($E14,References!$J$73:$J$127,0)))</f>
        <v/>
      </c>
      <c r="AD14" s="47" t="str">
        <f t="shared" si="5"/>
        <v/>
      </c>
      <c r="AE14" s="61" t="str">
        <f t="shared" si="6"/>
        <v/>
      </c>
      <c r="AF14" s="62" t="str">
        <f t="shared" si="7"/>
        <v/>
      </c>
      <c r="AG14" s="58" t="str">
        <f>IF(E14="","",References!R104)</f>
        <v/>
      </c>
      <c r="AH14" s="59" t="str">
        <f>IF(E14="","",INDEX(References!$AS:$AS,MATCH(ProposedEquipment0!E14,References!$AN:$AN,0)))</f>
        <v/>
      </c>
      <c r="AI14" s="59" t="str">
        <f>IF(E14="","",INDEX(References!$AT:$AT,MATCH(ProposedEquipment0!E14,References!$AN:$AN,0)))</f>
        <v/>
      </c>
      <c r="AJ14" s="59" t="str">
        <f>IF(E14="","",INDEX(References!$AQ:$AQ,MATCH(ProposedEquipment0!E14,References!$AN:$AN,0)))</f>
        <v/>
      </c>
      <c r="AK14" s="59" t="str">
        <f>IF(E14="","",INDEX(References!$AR:$AR,MATCH(ProposedEquipment0!E14,References!$AN:$AN,0)))</f>
        <v/>
      </c>
      <c r="AL14" s="68" t="str">
        <f t="shared" si="8"/>
        <v/>
      </c>
      <c r="AM14" s="69" t="str">
        <f t="shared" si="9"/>
        <v/>
      </c>
      <c r="AN14" s="70" t="str">
        <f t="shared" si="1"/>
        <v/>
      </c>
      <c r="AO14" s="71" t="str">
        <f t="shared" si="2"/>
        <v/>
      </c>
      <c r="AP14" s="53" t="str">
        <f t="shared" si="10"/>
        <v/>
      </c>
      <c r="AQ14" s="54" t="str">
        <f>IF($C14="","",INDEX(References!P$90:P$127,MATCH($E14,References!$J$73:$J$127,0))*G14)</f>
        <v/>
      </c>
      <c r="AU14" s="44" t="str">
        <f t="shared" si="3"/>
        <v/>
      </c>
      <c r="AV14" s="44" t="str">
        <f t="shared" si="4"/>
        <v/>
      </c>
      <c r="AW14" s="44" t="str">
        <f>IF(C14="","",INDEX(References!M$90:M$127,MATCH($E14,References!$J$73:$J$127,0)))</f>
        <v/>
      </c>
      <c r="AY14" t="str">
        <f t="shared" si="11"/>
        <v/>
      </c>
      <c r="AZ14" t="str">
        <f t="shared" si="12"/>
        <v/>
      </c>
    </row>
    <row r="15" spans="1:52" ht="15" x14ac:dyDescent="0.25">
      <c r="A15">
        <v>14</v>
      </c>
      <c r="C15" t="str">
        <f>IF(Worksheet!$F30="","","Refrigeration")</f>
        <v/>
      </c>
      <c r="D15" t="str">
        <f>IF(Worksheet!$F30="","","Refrigeration")</f>
        <v/>
      </c>
      <c r="E15" t="str">
        <f>IF(Worksheet!$F30="","",Worksheet!$C30)</f>
        <v/>
      </c>
      <c r="F15" s="3" t="str">
        <f t="shared" si="13"/>
        <v/>
      </c>
      <c r="G15" t="str">
        <f>IF(E15="","",Worksheet!F30)</f>
        <v/>
      </c>
      <c r="H15" t="str">
        <f>IF(C15="","",'Customer Information'!$L$40)</f>
        <v/>
      </c>
      <c r="I15" s="3" t="str">
        <f>_xlfn.IFNA(INDEX(References!L$90:L$127,MATCH($E15,References!$J$73:$J$127,0)),"")</f>
        <v/>
      </c>
      <c r="J15" s="48" t="str">
        <f>IF($E15="","",References!Q105)</f>
        <v/>
      </c>
      <c r="K15" s="48" t="str">
        <f>IF($E15="","",References!T105)</f>
        <v/>
      </c>
      <c r="L15" s="48" t="str">
        <f>IF($E15="","",References!U105)</f>
        <v/>
      </c>
      <c r="M15" s="48" t="str">
        <f>IF($E15="","",References!S105)</f>
        <v/>
      </c>
      <c r="N15" s="49"/>
      <c r="P15" s="49"/>
      <c r="S15" s="48"/>
      <c r="AB15" s="60" t="str">
        <f>IF($C15="","",INDEX(References!N$90:N$127,MATCH($E15,References!$J$73:$J$127,0)))</f>
        <v/>
      </c>
      <c r="AC15" s="62" t="str">
        <f>IF(D15="","",INDEX(References!O$90:O$127,MATCH($E15,References!$J$73:$J$127,0)))</f>
        <v/>
      </c>
      <c r="AD15" s="47" t="str">
        <f t="shared" si="5"/>
        <v/>
      </c>
      <c r="AE15" s="61" t="str">
        <f t="shared" si="6"/>
        <v/>
      </c>
      <c r="AF15" s="62" t="str">
        <f t="shared" si="7"/>
        <v/>
      </c>
      <c r="AG15" s="58" t="str">
        <f>IF(E15="","",References!R105)</f>
        <v/>
      </c>
      <c r="AH15" s="59" t="str">
        <f>IF(E15="","",INDEX(References!$AS:$AS,MATCH(ProposedEquipment0!E15,References!$AN:$AN,0)))</f>
        <v/>
      </c>
      <c r="AI15" s="59" t="str">
        <f>IF(E15="","",INDEX(References!$AT:$AT,MATCH(ProposedEquipment0!E15,References!$AN:$AN,0)))</f>
        <v/>
      </c>
      <c r="AJ15" s="59" t="str">
        <f>IF(E15="","",INDEX(References!$AQ:$AQ,MATCH(ProposedEquipment0!E15,References!$AN:$AN,0)))</f>
        <v/>
      </c>
      <c r="AK15" s="59" t="str">
        <f>IF(E15="","",INDEX(References!$AR:$AR,MATCH(ProposedEquipment0!E15,References!$AN:$AN,0)))</f>
        <v/>
      </c>
      <c r="AL15" s="68" t="str">
        <f t="shared" si="8"/>
        <v/>
      </c>
      <c r="AM15" s="69" t="str">
        <f t="shared" si="9"/>
        <v/>
      </c>
      <c r="AN15" s="70" t="str">
        <f t="shared" si="1"/>
        <v/>
      </c>
      <c r="AO15" s="71" t="str">
        <f t="shared" si="2"/>
        <v/>
      </c>
      <c r="AP15" s="53" t="str">
        <f t="shared" si="10"/>
        <v/>
      </c>
      <c r="AQ15" s="54" t="str">
        <f>IF($C15="","",INDEX(References!P$90:P$127,MATCH($E15,References!$J$73:$J$127,0))*G15)</f>
        <v/>
      </c>
      <c r="AU15" s="44" t="str">
        <f t="shared" si="3"/>
        <v/>
      </c>
      <c r="AV15" s="44" t="str">
        <f t="shared" si="4"/>
        <v/>
      </c>
      <c r="AW15" s="44" t="str">
        <f>IF(C15="","",INDEX(References!M$90:M$127,MATCH($E15,References!$J$73:$J$127,0)))</f>
        <v/>
      </c>
      <c r="AY15" t="str">
        <f t="shared" si="11"/>
        <v/>
      </c>
      <c r="AZ15" t="str">
        <f t="shared" si="12"/>
        <v/>
      </c>
    </row>
    <row r="16" spans="1:52" ht="15" x14ac:dyDescent="0.25">
      <c r="A16">
        <v>15</v>
      </c>
      <c r="C16" t="str">
        <f>IF(Worksheet!$F32="","","Refrigeration")</f>
        <v/>
      </c>
      <c r="D16" t="str">
        <f>IF(Worksheet!$F32="","","Refrigeration")</f>
        <v/>
      </c>
      <c r="E16" t="str">
        <f>IF(Worksheet!$F32="","",Worksheet!$C32)</f>
        <v/>
      </c>
      <c r="F16" s="3" t="str">
        <f t="shared" si="13"/>
        <v/>
      </c>
      <c r="G16" t="str">
        <f>IF(E16="","",Worksheet!F32)</f>
        <v/>
      </c>
      <c r="H16" t="str">
        <f>IF(C16="","",'Customer Information'!$L$40)</f>
        <v/>
      </c>
      <c r="I16" s="3" t="str">
        <f>_xlfn.IFNA(INDEX(References!L$90:L$127,MATCH($E16,References!$J$73:$J$127,0)),"")</f>
        <v/>
      </c>
      <c r="N16" s="49"/>
      <c r="O16" s="48" t="str">
        <f>IF($E16="","",References!Q108)</f>
        <v/>
      </c>
      <c r="P16" s="49"/>
      <c r="S16" s="48"/>
      <c r="AB16" s="60" t="str">
        <f>IF($C16="","",INDEX(References!N$90:N$127,MATCH($E16,References!$J$73:$J$127,0)))</f>
        <v/>
      </c>
      <c r="AC16" s="62" t="str">
        <f>IF(D16="","",INDEX(References!O$90:O$127,MATCH($E16,References!$J$73:$J$127,0)))</f>
        <v/>
      </c>
      <c r="AD16" s="47" t="str">
        <f t="shared" si="5"/>
        <v/>
      </c>
      <c r="AE16" s="61" t="str">
        <f t="shared" si="6"/>
        <v/>
      </c>
      <c r="AF16" s="62" t="str">
        <f t="shared" si="7"/>
        <v/>
      </c>
      <c r="AG16" s="58">
        <v>1</v>
      </c>
      <c r="AH16" s="59" t="str">
        <f>IF(E16="","",INDEX(References!$AS:$AS,MATCH(ProposedEquipment0!E16,References!$AN:$AN,0)))</f>
        <v/>
      </c>
      <c r="AI16" s="59" t="str">
        <f>IF(E16="","",INDEX(References!$AT:$AT,MATCH(ProposedEquipment0!E16,References!$AN:$AN,0)))</f>
        <v/>
      </c>
      <c r="AJ16" s="59" t="str">
        <f>IF(E16="","",INDEX(References!$AQ:$AQ,MATCH(ProposedEquipment0!E16,References!$AN:$AN,0)))</f>
        <v/>
      </c>
      <c r="AK16" s="59" t="str">
        <f>IF(E16="","",INDEX(References!$AR:$AR,MATCH(ProposedEquipment0!E16,References!$AN:$AN,0)))</f>
        <v/>
      </c>
      <c r="AL16" s="68" t="str">
        <f t="shared" si="8"/>
        <v/>
      </c>
      <c r="AM16" s="69" t="str">
        <f t="shared" si="9"/>
        <v/>
      </c>
      <c r="AN16" s="70" t="str">
        <f t="shared" si="1"/>
        <v/>
      </c>
      <c r="AO16" s="71" t="str">
        <f t="shared" si="2"/>
        <v/>
      </c>
      <c r="AP16" s="53" t="str">
        <f t="shared" si="10"/>
        <v/>
      </c>
      <c r="AQ16" s="54" t="str">
        <f>IF($C16="","",INDEX(References!P$90:P$127,MATCH($E16,References!$J$73:$J$127,0))*G16)</f>
        <v/>
      </c>
      <c r="AU16" s="44" t="str">
        <f t="shared" si="3"/>
        <v/>
      </c>
      <c r="AV16" s="44" t="str">
        <f t="shared" si="4"/>
        <v/>
      </c>
      <c r="AW16" s="44" t="str">
        <f>IF(C16="","",INDEX(References!M$90:M$127,MATCH($E16,References!$J$73:$J$127,0)))</f>
        <v/>
      </c>
      <c r="AY16" t="str">
        <f t="shared" si="11"/>
        <v/>
      </c>
      <c r="AZ16" t="str">
        <f t="shared" si="12"/>
        <v/>
      </c>
    </row>
    <row r="17" spans="1:52" ht="15" x14ac:dyDescent="0.25">
      <c r="A17">
        <v>16</v>
      </c>
      <c r="C17" t="str">
        <f>IF(Worksheet!$F35="","","Refrigeration")</f>
        <v/>
      </c>
      <c r="D17" t="str">
        <f>IF(Worksheet!$F35="","","Refrigeration Insulation")</f>
        <v/>
      </c>
      <c r="E17" t="str">
        <f>IF(Worksheet!$F35="","",Worksheet!$C35)</f>
        <v/>
      </c>
      <c r="F17" s="3" t="str">
        <f t="shared" si="13"/>
        <v/>
      </c>
      <c r="G17" t="str">
        <f>IF(E17="","",Worksheet!F35)</f>
        <v/>
      </c>
      <c r="H17" t="str">
        <f>IF(C17="","",'Customer Information'!$L$40)</f>
        <v/>
      </c>
      <c r="I17" s="3" t="str">
        <f>_xlfn.IFNA(INDEX(References!L$90:L$127,MATCH($E17,References!$J$73:$J$127,0)),"")</f>
        <v/>
      </c>
      <c r="N17" s="49" t="str">
        <f>IF($E17="","",References!Q111*1000)</f>
        <v/>
      </c>
      <c r="P17" s="49" t="str">
        <f>IF($E17="","",References!R111*1000)</f>
        <v/>
      </c>
      <c r="S17" s="48"/>
      <c r="U17" s="49" t="str">
        <f>IF($E17="","",References!S111)</f>
        <v/>
      </c>
      <c r="AB17" s="60" t="str">
        <f>IF($C17="","",INDEX(References!N$90:N$127,MATCH($E17,References!$J$73:$J$127,0)))</f>
        <v/>
      </c>
      <c r="AC17" s="62" t="str">
        <f>IF(D17="","",INDEX(References!O$90:O$127,MATCH($E17,References!$J$73:$J$127,0)))</f>
        <v/>
      </c>
      <c r="AD17" s="47" t="str">
        <f t="shared" si="5"/>
        <v/>
      </c>
      <c r="AE17" s="61" t="str">
        <f t="shared" si="6"/>
        <v/>
      </c>
      <c r="AF17" s="62" t="str">
        <f t="shared" si="7"/>
        <v/>
      </c>
      <c r="AG17" s="58" t="str">
        <f>IF(E17="","",References!T111)</f>
        <v/>
      </c>
      <c r="AH17" s="59" t="str">
        <f>IF(E17="","",INDEX(References!$AS:$AS,MATCH(ProposedEquipment0!E17,References!$AN:$AN,0)))</f>
        <v/>
      </c>
      <c r="AI17" s="59" t="str">
        <f>IF(E17="","",INDEX(References!$AT:$AT,MATCH(ProposedEquipment0!E17,References!$AN:$AN,0)))</f>
        <v/>
      </c>
      <c r="AJ17" s="59" t="str">
        <f>IF(E17="","",INDEX(References!$AQ:$AQ,MATCH(ProposedEquipment0!E17,References!$AN:$AN,0)))</f>
        <v/>
      </c>
      <c r="AK17" s="59" t="str">
        <f>IF(E17="","",INDEX(References!$AR:$AR,MATCH(ProposedEquipment0!E17,References!$AN:$AN,0)))</f>
        <v/>
      </c>
      <c r="AL17" s="68" t="str">
        <f t="shared" si="8"/>
        <v/>
      </c>
      <c r="AM17" s="69" t="str">
        <f t="shared" si="9"/>
        <v/>
      </c>
      <c r="AN17" s="70" t="str">
        <f t="shared" si="1"/>
        <v/>
      </c>
      <c r="AO17" s="71" t="str">
        <f t="shared" si="2"/>
        <v/>
      </c>
      <c r="AP17" s="53" t="str">
        <f t="shared" si="10"/>
        <v/>
      </c>
      <c r="AQ17" s="54" t="str">
        <f>IF($C17="","",INDEX(References!P$90:P$127,MATCH($E17,References!$J$73:$J$127,0))*G17)</f>
        <v/>
      </c>
      <c r="AU17" s="44" t="str">
        <f t="shared" si="3"/>
        <v/>
      </c>
      <c r="AV17" s="44" t="str">
        <f t="shared" si="4"/>
        <v/>
      </c>
      <c r="AW17" s="44" t="str">
        <f>IF(C17="","",INDEX(References!M$90:M$127,MATCH($E17,References!$J$73:$J$127,0)))</f>
        <v/>
      </c>
      <c r="AY17" t="str">
        <f t="shared" si="11"/>
        <v/>
      </c>
      <c r="AZ17" t="str">
        <f t="shared" si="12"/>
        <v/>
      </c>
    </row>
    <row r="18" spans="1:52" ht="15" x14ac:dyDescent="0.25">
      <c r="A18">
        <v>17</v>
      </c>
      <c r="C18" t="str">
        <f>IF(Worksheet!$F36="","","Refrigeration")</f>
        <v/>
      </c>
      <c r="D18" t="str">
        <f>IF(Worksheet!$F36="","","Refrigeration Insulation")</f>
        <v/>
      </c>
      <c r="E18" t="str">
        <f>IF(Worksheet!$F36="","",Worksheet!$C36)</f>
        <v/>
      </c>
      <c r="F18" s="3" t="str">
        <f t="shared" si="13"/>
        <v/>
      </c>
      <c r="G18" t="str">
        <f>IF(E18="","",Worksheet!F36)</f>
        <v/>
      </c>
      <c r="H18" t="str">
        <f>IF(C18="","",'Customer Information'!$L$40)</f>
        <v/>
      </c>
      <c r="I18" s="3" t="str">
        <f>_xlfn.IFNA(INDEX(References!L$90:L$127,MATCH($E18,References!$J$73:$J$127,0)),"")</f>
        <v/>
      </c>
      <c r="N18" s="49" t="str">
        <f>IF($E18="","",References!Q112*1000)</f>
        <v/>
      </c>
      <c r="P18" s="49" t="str">
        <f>IF($E18="","",References!R112*1000)</f>
        <v/>
      </c>
      <c r="S18" s="48"/>
      <c r="U18" s="49" t="str">
        <f>IF($E18="","",References!S112)</f>
        <v/>
      </c>
      <c r="AB18" s="60" t="str">
        <f>IF($C18="","",INDEX(References!N$90:N$127,MATCH($E18,References!$J$73:$J$127,0)))</f>
        <v/>
      </c>
      <c r="AC18" s="62" t="str">
        <f>IF(D18="","",INDEX(References!O$90:O$127,MATCH($E18,References!$J$73:$J$127,0)))</f>
        <v/>
      </c>
      <c r="AD18" s="47" t="str">
        <f t="shared" si="5"/>
        <v/>
      </c>
      <c r="AE18" s="61" t="str">
        <f t="shared" si="6"/>
        <v/>
      </c>
      <c r="AF18" s="62" t="str">
        <f t="shared" si="7"/>
        <v/>
      </c>
      <c r="AG18" s="58" t="str">
        <f>IF(E18="","",References!T112)</f>
        <v/>
      </c>
      <c r="AH18" s="59" t="str">
        <f>IF(E18="","",INDEX(References!$AS:$AS,MATCH(ProposedEquipment0!E18,References!$AN:$AN,0)))</f>
        <v/>
      </c>
      <c r="AI18" s="59" t="str">
        <f>IF(E18="","",INDEX(References!$AT:$AT,MATCH(ProposedEquipment0!E18,References!$AN:$AN,0)))</f>
        <v/>
      </c>
      <c r="AJ18" s="59" t="str">
        <f>IF(E18="","",INDEX(References!$AQ:$AQ,MATCH(ProposedEquipment0!E18,References!$AN:$AN,0)))</f>
        <v/>
      </c>
      <c r="AK18" s="59" t="str">
        <f>IF(E18="","",INDEX(References!$AR:$AR,MATCH(ProposedEquipment0!E18,References!$AN:$AN,0)))</f>
        <v/>
      </c>
      <c r="AL18" s="68" t="str">
        <f t="shared" si="8"/>
        <v/>
      </c>
      <c r="AM18" s="69" t="str">
        <f t="shared" si="9"/>
        <v/>
      </c>
      <c r="AN18" s="70" t="str">
        <f t="shared" si="1"/>
        <v/>
      </c>
      <c r="AO18" s="71" t="str">
        <f t="shared" si="2"/>
        <v/>
      </c>
      <c r="AP18" s="53" t="str">
        <f t="shared" si="10"/>
        <v/>
      </c>
      <c r="AQ18" s="54" t="str">
        <f>IF($C18="","",INDEX(References!P$90:P$127,MATCH($E18,References!$J$73:$J$127,0))*G18)</f>
        <v/>
      </c>
      <c r="AU18" s="44" t="str">
        <f t="shared" si="3"/>
        <v/>
      </c>
      <c r="AV18" s="44" t="str">
        <f t="shared" si="4"/>
        <v/>
      </c>
      <c r="AW18" s="44" t="str">
        <f>IF(C18="","",INDEX(References!M$90:M$127,MATCH($E18,References!$J$73:$J$127,0)))</f>
        <v/>
      </c>
      <c r="AY18" t="str">
        <f t="shared" si="11"/>
        <v/>
      </c>
      <c r="AZ18" t="str">
        <f t="shared" si="12"/>
        <v/>
      </c>
    </row>
    <row r="19" spans="1:52" ht="15" x14ac:dyDescent="0.25">
      <c r="A19">
        <v>18</v>
      </c>
      <c r="C19" t="str">
        <f>IF(Worksheet!$F37="","","Refrigeration")</f>
        <v/>
      </c>
      <c r="D19" t="str">
        <f>IF(Worksheet!$F37="","","Refrigeration Insulation")</f>
        <v/>
      </c>
      <c r="E19" t="str">
        <f>IF(Worksheet!$F37="","",Worksheet!$C37)</f>
        <v/>
      </c>
      <c r="F19" s="3" t="str">
        <f t="shared" si="13"/>
        <v/>
      </c>
      <c r="G19" t="str">
        <f>IF(E19="","",Worksheet!F37)</f>
        <v/>
      </c>
      <c r="H19" t="str">
        <f>IF(C19="","",'Customer Information'!$L$40)</f>
        <v/>
      </c>
      <c r="I19" s="3" t="str">
        <f>_xlfn.IFNA(INDEX(References!L$90:L$127,MATCH($E19,References!$J$73:$J$127,0)),"")</f>
        <v/>
      </c>
      <c r="N19" s="49"/>
      <c r="P19" s="49"/>
      <c r="S19" s="48" t="str">
        <f>IF($C19="","",8760)</f>
        <v/>
      </c>
      <c r="T19" s="45" t="str">
        <f>IF($C19="","",References!X115)</f>
        <v/>
      </c>
      <c r="V19" s="48" t="str">
        <f>IF($C19="","",References!W115)</f>
        <v/>
      </c>
      <c r="W19" s="45" t="str">
        <f>IF($C19="","",References!Z115)</f>
        <v/>
      </c>
      <c r="X19" s="7" t="str">
        <f>IF($C19="","",References!V115)</f>
        <v/>
      </c>
      <c r="Y19" s="7" t="str">
        <f>IF($C19="","",References!S115)</f>
        <v/>
      </c>
      <c r="Z19" s="50" t="str">
        <f>IF($C19="","",References!U115)</f>
        <v/>
      </c>
      <c r="AA19" s="50" t="str">
        <f>IF($C19="","",References!R115)</f>
        <v/>
      </c>
      <c r="AB19" s="60" t="str">
        <f>IF($C19="","",INDEX(References!N$90:N$127,MATCH($E19,References!$J$73:$J$127,0)))</f>
        <v/>
      </c>
      <c r="AC19" s="62" t="str">
        <f>IF(D19="","",INDEX(References!O$90:O$127,MATCH($E19,References!$J$73:$J$127,0)))</f>
        <v/>
      </c>
      <c r="AD19" s="47" t="str">
        <f t="shared" si="5"/>
        <v/>
      </c>
      <c r="AE19" s="61" t="str">
        <f t="shared" si="6"/>
        <v/>
      </c>
      <c r="AF19" s="62" t="str">
        <f t="shared" si="7"/>
        <v/>
      </c>
      <c r="AG19" s="58" t="str">
        <f>IF(E19="","",References!AF115)</f>
        <v/>
      </c>
      <c r="AH19" s="59" t="str">
        <f>IF(E19="","",INDEX(References!$AS:$AS,MATCH(ProposedEquipment0!E19,References!$AN:$AN,0)))</f>
        <v/>
      </c>
      <c r="AI19" s="59" t="str">
        <f>IF(E19="","",INDEX(References!$AT:$AT,MATCH(ProposedEquipment0!E19,References!$AN:$AN,0)))</f>
        <v/>
      </c>
      <c r="AJ19" s="59" t="str">
        <f>IF(E19="","",INDEX(References!$AQ:$AQ,MATCH(ProposedEquipment0!E19,References!$AN:$AN,0)))</f>
        <v/>
      </c>
      <c r="AK19" s="59" t="str">
        <f>IF(E19="","",INDEX(References!$AR:$AR,MATCH(ProposedEquipment0!E19,References!$AN:$AN,0)))</f>
        <v/>
      </c>
      <c r="AL19" s="68" t="str">
        <f t="shared" si="8"/>
        <v/>
      </c>
      <c r="AM19" s="69" t="str">
        <f t="shared" si="9"/>
        <v/>
      </c>
      <c r="AN19" s="70" t="str">
        <f t="shared" si="1"/>
        <v/>
      </c>
      <c r="AO19" s="71" t="str">
        <f t="shared" si="2"/>
        <v/>
      </c>
      <c r="AP19" s="53" t="str">
        <f t="shared" si="10"/>
        <v/>
      </c>
      <c r="AQ19" s="54" t="str">
        <f>IF($C19="","",INDEX(References!P$90:P$127,MATCH($E19,References!$J$73:$J$127,0))*G19)</f>
        <v/>
      </c>
      <c r="AU19" s="44" t="str">
        <f t="shared" si="3"/>
        <v/>
      </c>
      <c r="AV19" s="44" t="str">
        <f t="shared" si="4"/>
        <v/>
      </c>
      <c r="AW19" s="44" t="str">
        <f>IF(C19="","",INDEX(References!M$90:M$127,MATCH($E19,References!$J$73:$J$127,0)))</f>
        <v/>
      </c>
      <c r="AY19" t="str">
        <f t="shared" si="11"/>
        <v/>
      </c>
      <c r="AZ19" t="str">
        <f t="shared" si="12"/>
        <v/>
      </c>
    </row>
    <row r="20" spans="1:52" ht="15" x14ac:dyDescent="0.25">
      <c r="A20">
        <v>19</v>
      </c>
      <c r="C20" t="str">
        <f>IF(Worksheet!$F38="","","Refrigeration")</f>
        <v/>
      </c>
      <c r="D20" t="str">
        <f>IF(Worksheet!$F38="","","Refrigeration Insulation")</f>
        <v/>
      </c>
      <c r="E20" t="str">
        <f>IF(Worksheet!$F38="","",Worksheet!$C38)</f>
        <v/>
      </c>
      <c r="F20" s="3" t="str">
        <f t="shared" si="13"/>
        <v/>
      </c>
      <c r="G20" t="str">
        <f>IF(E20="","",Worksheet!F38)</f>
        <v/>
      </c>
      <c r="H20" t="str">
        <f>IF(C20="","",'Customer Information'!$L$40)</f>
        <v/>
      </c>
      <c r="I20" s="3" t="str">
        <f>_xlfn.IFNA(INDEX(References!L$90:L$127,MATCH($E20,References!$J$73:$J$127,0)),"")</f>
        <v/>
      </c>
      <c r="N20" s="49"/>
      <c r="P20" s="49"/>
      <c r="S20" s="48" t="str">
        <f>IF($C20="","",8760)</f>
        <v/>
      </c>
      <c r="T20" s="45" t="str">
        <f>IF($C20="","",References!X116)</f>
        <v/>
      </c>
      <c r="V20" s="48" t="str">
        <f>IF($C20="","",References!W116)</f>
        <v/>
      </c>
      <c r="W20" s="45" t="str">
        <f>IF($C20="","",References!Z116)</f>
        <v/>
      </c>
      <c r="X20" s="7" t="str">
        <f>IF($C20="","",References!V116)</f>
        <v/>
      </c>
      <c r="Y20" s="7" t="str">
        <f>IF($C20="","",References!S116)</f>
        <v/>
      </c>
      <c r="Z20" s="50" t="str">
        <f>IF($C20="","",References!U116)</f>
        <v/>
      </c>
      <c r="AA20" s="50" t="str">
        <f>IF($C20="","",References!R116)</f>
        <v/>
      </c>
      <c r="AB20" s="60" t="str">
        <f>IF($C20="","",INDEX(References!N$90:N$127,MATCH($E20,References!$J$73:$J$127,0)))</f>
        <v/>
      </c>
      <c r="AC20" s="62" t="str">
        <f>IF(D20="","",INDEX(References!O$90:O$127,MATCH($E20,References!$J$73:$J$127,0)))</f>
        <v/>
      </c>
      <c r="AD20" s="47" t="str">
        <f t="shared" si="5"/>
        <v/>
      </c>
      <c r="AE20" s="61" t="str">
        <f t="shared" si="6"/>
        <v/>
      </c>
      <c r="AF20" s="62" t="str">
        <f t="shared" si="7"/>
        <v/>
      </c>
      <c r="AG20" s="58" t="str">
        <f>IF(E20="","",References!AF116)</f>
        <v/>
      </c>
      <c r="AH20" s="59" t="str">
        <f>IF(E20="","",INDEX(References!$AS:$AS,MATCH(ProposedEquipment0!E20,References!$AN:$AN,0)))</f>
        <v/>
      </c>
      <c r="AI20" s="59" t="str">
        <f>IF(E20="","",INDEX(References!$AT:$AT,MATCH(ProposedEquipment0!E20,References!$AN:$AN,0)))</f>
        <v/>
      </c>
      <c r="AJ20" s="59" t="str">
        <f>IF(E20="","",INDEX(References!$AQ:$AQ,MATCH(ProposedEquipment0!E20,References!$AN:$AN,0)))</f>
        <v/>
      </c>
      <c r="AK20" s="59" t="str">
        <f>IF(E20="","",INDEX(References!$AR:$AR,MATCH(ProposedEquipment0!E20,References!$AN:$AN,0)))</f>
        <v/>
      </c>
      <c r="AL20" s="68" t="str">
        <f t="shared" si="8"/>
        <v/>
      </c>
      <c r="AM20" s="69" t="str">
        <f t="shared" si="9"/>
        <v/>
      </c>
      <c r="AN20" s="70" t="str">
        <f t="shared" si="1"/>
        <v/>
      </c>
      <c r="AO20" s="71" t="str">
        <f t="shared" si="2"/>
        <v/>
      </c>
      <c r="AP20" s="53" t="str">
        <f t="shared" si="10"/>
        <v/>
      </c>
      <c r="AQ20" s="54" t="str">
        <f>IF($C20="","",INDEX(References!P$90:P$127,MATCH($E20,References!$J$73:$J$127,0))*G20)</f>
        <v/>
      </c>
      <c r="AU20" s="44" t="str">
        <f t="shared" si="3"/>
        <v/>
      </c>
      <c r="AV20" s="44" t="str">
        <f t="shared" si="4"/>
        <v/>
      </c>
      <c r="AW20" s="44" t="str">
        <f>IF(C20="","",INDEX(References!M$90:M$127,MATCH($E20,References!$J$73:$J$127,0)))</f>
        <v/>
      </c>
      <c r="AY20" t="str">
        <f t="shared" si="11"/>
        <v/>
      </c>
      <c r="AZ20" t="str">
        <f t="shared" si="12"/>
        <v/>
      </c>
    </row>
    <row r="21" spans="1:52" ht="15" x14ac:dyDescent="0.25">
      <c r="A21">
        <v>20</v>
      </c>
      <c r="C21" t="str">
        <f>IF(Worksheet!$F39="","","Refrigeration")</f>
        <v/>
      </c>
      <c r="D21" t="str">
        <f>IF(Worksheet!$F39="","","Refrigeration Insulation")</f>
        <v/>
      </c>
      <c r="E21" t="str">
        <f>IF(Worksheet!$F39="","",Worksheet!$C39)</f>
        <v/>
      </c>
      <c r="F21" s="3" t="str">
        <f t="shared" si="13"/>
        <v/>
      </c>
      <c r="G21" t="str">
        <f>IF(E21="","",Worksheet!F39)</f>
        <v/>
      </c>
      <c r="H21" t="str">
        <f>IF(C21="","",'Customer Information'!$L$40)</f>
        <v/>
      </c>
      <c r="I21" s="3" t="str">
        <f>_xlfn.IFNA(INDEX(References!L$90:L$127,MATCH($E21,References!$J$73:$J$127,0)),"")</f>
        <v/>
      </c>
      <c r="N21" s="49"/>
      <c r="P21" s="49"/>
      <c r="S21" s="48"/>
      <c r="AB21" s="60" t="str">
        <f>IF($C21="","",INDEX(References!N$90:N$127,MATCH($E21,References!$J$73:$J$127,0)))</f>
        <v/>
      </c>
      <c r="AC21" s="62" t="str">
        <f>IF(D21="","",INDEX(References!O$90:O$127,MATCH($E21,References!$J$73:$J$127,0)))</f>
        <v/>
      </c>
      <c r="AD21" s="47" t="str">
        <f t="shared" si="5"/>
        <v/>
      </c>
      <c r="AE21" s="61" t="str">
        <f t="shared" si="6"/>
        <v/>
      </c>
      <c r="AF21" s="62" t="str">
        <f t="shared" si="7"/>
        <v/>
      </c>
      <c r="AG21" s="58" t="str">
        <f>IF(E21="","",References!Q119)</f>
        <v/>
      </c>
      <c r="AH21" s="59" t="str">
        <f>IF(E21="","",INDEX(References!$AS:$AS,MATCH(ProposedEquipment0!E21,References!$AN:$AN,0)))</f>
        <v/>
      </c>
      <c r="AI21" s="59" t="str">
        <f>IF(E21="","",INDEX(References!$AT:$AT,MATCH(ProposedEquipment0!E21,References!$AN:$AN,0)))</f>
        <v/>
      </c>
      <c r="AJ21" s="59" t="str">
        <f>IF(E21="","",INDEX(References!$AQ:$AQ,MATCH(ProposedEquipment0!E21,References!$AN:$AN,0)))</f>
        <v/>
      </c>
      <c r="AK21" s="59" t="str">
        <f>IF(E21="","",INDEX(References!$AR:$AR,MATCH(ProposedEquipment0!E21,References!$AN:$AN,0)))</f>
        <v/>
      </c>
      <c r="AL21" s="68" t="str">
        <f t="shared" si="8"/>
        <v/>
      </c>
      <c r="AM21" s="69" t="str">
        <f t="shared" si="9"/>
        <v/>
      </c>
      <c r="AN21" s="70" t="str">
        <f t="shared" si="1"/>
        <v/>
      </c>
      <c r="AO21" s="71" t="str">
        <f t="shared" si="2"/>
        <v/>
      </c>
      <c r="AP21" s="53" t="str">
        <f t="shared" si="10"/>
        <v/>
      </c>
      <c r="AQ21" s="54" t="str">
        <f>IF($C21="","",INDEX(References!P$90:P$127,MATCH($E21,References!$J$73:$J$127,0))*G21)</f>
        <v/>
      </c>
      <c r="AU21" s="44" t="str">
        <f t="shared" si="3"/>
        <v/>
      </c>
      <c r="AV21" s="44" t="str">
        <f t="shared" si="4"/>
        <v/>
      </c>
      <c r="AW21" s="44" t="str">
        <f>IF(C21="","",INDEX(References!M$90:M$127,MATCH($E21,References!$J$73:$J$127,0)))</f>
        <v/>
      </c>
      <c r="AY21" t="str">
        <f t="shared" si="11"/>
        <v/>
      </c>
      <c r="AZ21" t="str">
        <f t="shared" si="12"/>
        <v/>
      </c>
    </row>
    <row r="22" spans="1:52" ht="15" x14ac:dyDescent="0.25">
      <c r="A22">
        <v>21</v>
      </c>
      <c r="C22" t="str">
        <f>IF(Worksheet!$F40="","","Refrigeration")</f>
        <v/>
      </c>
      <c r="D22" t="str">
        <f>IF(Worksheet!$F40="","","Refrigeration Insulation")</f>
        <v/>
      </c>
      <c r="E22" t="str">
        <f>IF(Worksheet!$F40="","",Worksheet!$C40)</f>
        <v/>
      </c>
      <c r="F22" s="3" t="str">
        <f t="shared" si="13"/>
        <v/>
      </c>
      <c r="G22" t="str">
        <f>IF(E22="","",Worksheet!F40)</f>
        <v/>
      </c>
      <c r="H22" t="str">
        <f>IF(C22="","",'Customer Information'!$L$40)</f>
        <v/>
      </c>
      <c r="I22" s="3" t="str">
        <f>_xlfn.IFNA(INDEX(References!L$90:L$127,MATCH($E22,References!$J$73:$J$127,0)),"")</f>
        <v/>
      </c>
      <c r="N22" s="49"/>
      <c r="P22" s="49"/>
      <c r="S22" s="48"/>
      <c r="AB22" s="60" t="str">
        <f>IF($C22="","",INDEX(References!N$90:N$127,MATCH($E22,References!$J$73:$J$127,0)))</f>
        <v/>
      </c>
      <c r="AC22" s="62" t="str">
        <f>IF(D22="","",INDEX(References!O$90:O$127,MATCH($E22,References!$J$73:$J$127,0)))</f>
        <v/>
      </c>
      <c r="AD22" s="47" t="str">
        <f t="shared" si="5"/>
        <v/>
      </c>
      <c r="AE22" s="61" t="str">
        <f t="shared" si="6"/>
        <v/>
      </c>
      <c r="AF22" s="62" t="str">
        <f t="shared" si="7"/>
        <v/>
      </c>
      <c r="AG22" s="58" t="str">
        <f>IF(E22="","",References!Q120)</f>
        <v/>
      </c>
      <c r="AH22" s="59" t="str">
        <f>IF(E22="","",INDEX(References!$AS:$AS,MATCH(ProposedEquipment0!E22,References!$AN:$AN,0)))</f>
        <v/>
      </c>
      <c r="AI22" s="59" t="str">
        <f>IF(E22="","",INDEX(References!$AT:$AT,MATCH(ProposedEquipment0!E22,References!$AN:$AN,0)))</f>
        <v/>
      </c>
      <c r="AJ22" s="59" t="str">
        <f>IF(E22="","",INDEX(References!$AQ:$AQ,MATCH(ProposedEquipment0!E22,References!$AN:$AN,0)))</f>
        <v/>
      </c>
      <c r="AK22" s="59" t="str">
        <f>IF(E22="","",INDEX(References!$AR:$AR,MATCH(ProposedEquipment0!E22,References!$AN:$AN,0)))</f>
        <v/>
      </c>
      <c r="AL22" s="68" t="str">
        <f t="shared" si="8"/>
        <v/>
      </c>
      <c r="AM22" s="69" t="str">
        <f t="shared" si="9"/>
        <v/>
      </c>
      <c r="AN22" s="70" t="str">
        <f t="shared" si="1"/>
        <v/>
      </c>
      <c r="AO22" s="71" t="str">
        <f t="shared" si="2"/>
        <v/>
      </c>
      <c r="AP22" s="53" t="str">
        <f t="shared" si="10"/>
        <v/>
      </c>
      <c r="AQ22" s="54" t="str">
        <f>IF($C22="","",INDEX(References!P$90:P$127,MATCH($E22,References!$J$73:$J$127,0))*G22)</f>
        <v/>
      </c>
      <c r="AU22" s="44" t="str">
        <f t="shared" si="3"/>
        <v/>
      </c>
      <c r="AV22" s="44" t="str">
        <f t="shared" si="4"/>
        <v/>
      </c>
      <c r="AW22" s="44" t="str">
        <f>IF(C22="","",INDEX(References!M$90:M$127,MATCH($E22,References!$J$73:$J$127,0)))</f>
        <v/>
      </c>
      <c r="AY22" t="str">
        <f t="shared" si="11"/>
        <v/>
      </c>
      <c r="AZ22" t="str">
        <f t="shared" si="12"/>
        <v/>
      </c>
    </row>
    <row r="23" spans="1:52" ht="15" x14ac:dyDescent="0.25">
      <c r="A23">
        <v>22</v>
      </c>
      <c r="C23" t="str">
        <f>IF(Worksheet!$F41="","","Refrigeration")</f>
        <v/>
      </c>
      <c r="D23" t="str">
        <f>IF(Worksheet!$F41="","","Refrigeration Insulation")</f>
        <v/>
      </c>
      <c r="E23" t="str">
        <f>IF(Worksheet!$F41="","",Worksheet!$C41)</f>
        <v/>
      </c>
      <c r="F23" s="3" t="str">
        <f t="shared" si="13"/>
        <v/>
      </c>
      <c r="G23" t="str">
        <f>IF(E23="","",Worksheet!F41)</f>
        <v/>
      </c>
      <c r="H23" t="str">
        <f>IF(C23="","",'Customer Information'!$L$40)</f>
        <v/>
      </c>
      <c r="I23" s="3" t="str">
        <f>_xlfn.IFNA(INDEX(References!L$90:L$127,MATCH($E23,References!$J$73:$J$127,0)),"")</f>
        <v/>
      </c>
      <c r="N23" s="49"/>
      <c r="P23" s="49"/>
      <c r="S23" s="48"/>
      <c r="W23" s="45" t="str">
        <f>IF($C23="","",References!R121)</f>
        <v/>
      </c>
      <c r="AB23" s="60" t="str">
        <f>IF($C23="","",INDEX(References!N$90:N$127,MATCH($E23,References!$J$73:$J$127,0)))</f>
        <v/>
      </c>
      <c r="AC23" s="62" t="str">
        <f>IF(D23="","",INDEX(References!O$90:O$127,MATCH($E23,References!$J$73:$J$127,0)))</f>
        <v/>
      </c>
      <c r="AD23" s="47" t="str">
        <f t="shared" si="5"/>
        <v/>
      </c>
      <c r="AE23" s="61" t="str">
        <f t="shared" si="6"/>
        <v/>
      </c>
      <c r="AF23" s="62" t="str">
        <f t="shared" si="7"/>
        <v/>
      </c>
      <c r="AG23" s="58" t="str">
        <f>IF(E23="","",References!Q121)</f>
        <v/>
      </c>
      <c r="AH23" s="59" t="str">
        <f>IF(E23="","",INDEX(References!$AS:$AS,MATCH(ProposedEquipment0!E23,References!$AN:$AN,0)))</f>
        <v/>
      </c>
      <c r="AI23" s="59" t="str">
        <f>IF(E23="","",INDEX(References!$AT:$AT,MATCH(ProposedEquipment0!E23,References!$AN:$AN,0)))</f>
        <v/>
      </c>
      <c r="AJ23" s="59" t="str">
        <f>IF(E23="","",INDEX(References!$AQ:$AQ,MATCH(ProposedEquipment0!E23,References!$AN:$AN,0)))</f>
        <v/>
      </c>
      <c r="AK23" s="59" t="str">
        <f>IF(E23="","",INDEX(References!$AR:$AR,MATCH(ProposedEquipment0!E23,References!$AN:$AN,0)))</f>
        <v/>
      </c>
      <c r="AL23" s="68" t="str">
        <f t="shared" si="8"/>
        <v/>
      </c>
      <c r="AM23" s="69" t="str">
        <f t="shared" si="9"/>
        <v/>
      </c>
      <c r="AN23" s="70" t="str">
        <f t="shared" si="1"/>
        <v/>
      </c>
      <c r="AO23" s="71" t="str">
        <f t="shared" si="2"/>
        <v/>
      </c>
      <c r="AP23" s="53" t="str">
        <f t="shared" si="10"/>
        <v/>
      </c>
      <c r="AQ23" s="54" t="str">
        <f>IF($C23="","",INDEX(References!P$90:P$127,MATCH($E23,References!$J$73:$J$127,0))*G23)</f>
        <v/>
      </c>
      <c r="AU23" s="44" t="str">
        <f t="shared" si="3"/>
        <v/>
      </c>
      <c r="AV23" s="44" t="str">
        <f t="shared" si="4"/>
        <v/>
      </c>
      <c r="AW23" s="44" t="str">
        <f>IF(C23="","",INDEX(References!M$90:M$127,MATCH($E23,References!$J$73:$J$127,0)))</f>
        <v/>
      </c>
      <c r="AY23" t="str">
        <f t="shared" si="11"/>
        <v/>
      </c>
      <c r="AZ23" t="str">
        <f t="shared" si="12"/>
        <v/>
      </c>
    </row>
    <row r="24" spans="1:52" ht="15" x14ac:dyDescent="0.25">
      <c r="A24">
        <v>23</v>
      </c>
      <c r="C24" t="str">
        <f>IF(Worksheet!$F42="","","Refrigeration")</f>
        <v/>
      </c>
      <c r="D24" t="str">
        <f>IF(Worksheet!$F42="","","Refrigeration Insulation")</f>
        <v/>
      </c>
      <c r="E24" t="str">
        <f>IF(Worksheet!$F42="","",Worksheet!$C42)</f>
        <v/>
      </c>
      <c r="F24" s="3" t="str">
        <f t="shared" si="13"/>
        <v/>
      </c>
      <c r="G24" t="str">
        <f>IF(E24="","",Worksheet!F42)</f>
        <v/>
      </c>
      <c r="H24" t="str">
        <f>IF(C24="","",'Customer Information'!$L$40)</f>
        <v/>
      </c>
      <c r="I24" s="3" t="str">
        <f>_xlfn.IFNA(INDEX(References!L$90:L$127,MATCH($E24,References!$J$73:$J$127,0)),"")</f>
        <v/>
      </c>
      <c r="N24" s="49"/>
      <c r="P24" s="49"/>
      <c r="S24" s="48"/>
      <c r="W24" s="45" t="str">
        <f>IF($C24="","",References!R122)</f>
        <v/>
      </c>
      <c r="AB24" s="60" t="str">
        <f>IF($C24="","",INDEX(References!N$90:N$127,MATCH($E24,References!$J$73:$J$127,0)))</f>
        <v/>
      </c>
      <c r="AC24" s="62" t="str">
        <f>IF(D24="","",INDEX(References!O$90:O$127,MATCH($E24,References!$J$73:$J$127,0)))</f>
        <v/>
      </c>
      <c r="AD24" s="47" t="str">
        <f t="shared" si="5"/>
        <v/>
      </c>
      <c r="AE24" s="61" t="str">
        <f t="shared" si="6"/>
        <v/>
      </c>
      <c r="AF24" s="62" t="str">
        <f t="shared" si="7"/>
        <v/>
      </c>
      <c r="AG24" s="58" t="str">
        <f>IF(E24="","",References!Q122)</f>
        <v/>
      </c>
      <c r="AH24" s="59" t="str">
        <f>IF(E24="","",INDEX(References!$AS:$AS,MATCH(ProposedEquipment0!E24,References!$AN:$AN,0)))</f>
        <v/>
      </c>
      <c r="AI24" s="59" t="str">
        <f>IF(E24="","",INDEX(References!$AT:$AT,MATCH(ProposedEquipment0!E24,References!$AN:$AN,0)))</f>
        <v/>
      </c>
      <c r="AJ24" s="59" t="str">
        <f>IF(E24="","",INDEX(References!$AQ:$AQ,MATCH(ProposedEquipment0!E24,References!$AN:$AN,0)))</f>
        <v/>
      </c>
      <c r="AK24" s="59" t="str">
        <f>IF(E24="","",INDEX(References!$AR:$AR,MATCH(ProposedEquipment0!E24,References!$AN:$AN,0)))</f>
        <v/>
      </c>
      <c r="AL24" s="68" t="str">
        <f t="shared" si="8"/>
        <v/>
      </c>
      <c r="AM24" s="69" t="str">
        <f t="shared" si="9"/>
        <v/>
      </c>
      <c r="AN24" s="70" t="str">
        <f t="shared" si="1"/>
        <v/>
      </c>
      <c r="AO24" s="71" t="str">
        <f t="shared" si="2"/>
        <v/>
      </c>
      <c r="AP24" s="53" t="str">
        <f t="shared" si="10"/>
        <v/>
      </c>
      <c r="AQ24" s="54" t="str">
        <f>IF($C24="","",INDEX(References!P$90:P$127,MATCH($E24,References!$J$73:$J$127,0))*G24)</f>
        <v/>
      </c>
      <c r="AU24" s="44" t="str">
        <f t="shared" si="3"/>
        <v/>
      </c>
      <c r="AV24" s="44" t="str">
        <f t="shared" si="4"/>
        <v/>
      </c>
      <c r="AW24" s="44" t="str">
        <f>IF(C24="","",INDEX(References!M$90:M$127,MATCH($E24,References!$J$73:$J$127,0)))</f>
        <v/>
      </c>
      <c r="AY24" t="str">
        <f t="shared" si="11"/>
        <v/>
      </c>
      <c r="AZ24" t="str">
        <f t="shared" si="12"/>
        <v/>
      </c>
    </row>
    <row r="25" spans="1:52" ht="15" x14ac:dyDescent="0.25">
      <c r="A25">
        <v>24</v>
      </c>
      <c r="C25" t="str">
        <f>IF(Worksheet!$F43="","","Refrigeration")</f>
        <v/>
      </c>
      <c r="D25" t="str">
        <f>IF(Worksheet!$F43="","","Refrigeration Insulation")</f>
        <v/>
      </c>
      <c r="E25" t="str">
        <f>IF(Worksheet!$F43="","",Worksheet!$C43)</f>
        <v/>
      </c>
      <c r="F25" s="3" t="str">
        <f t="shared" si="13"/>
        <v/>
      </c>
      <c r="G25" t="str">
        <f>IF(E25="","",Worksheet!F43)</f>
        <v/>
      </c>
      <c r="H25" t="str">
        <f>IF(C25="","",'Customer Information'!$L$40)</f>
        <v/>
      </c>
      <c r="I25" s="3" t="str">
        <f>_xlfn.IFNA(INDEX(References!L$90:L$127,MATCH($E25,References!$J$73:$J$127,0)),"")</f>
        <v/>
      </c>
      <c r="N25" s="49"/>
      <c r="P25" s="49"/>
      <c r="S25" s="48"/>
      <c r="AB25" s="60" t="str">
        <f>IF($C25="","",INDEX(References!N$90:N$127,MATCH($E25,References!$J$73:$J$127,0)))</f>
        <v/>
      </c>
      <c r="AC25" s="62" t="str">
        <f>IF(D25="","",INDEX(References!O$90:O$127,MATCH($E25,References!$J$73:$J$127,0)))</f>
        <v/>
      </c>
      <c r="AD25" s="47" t="str">
        <f t="shared" si="5"/>
        <v/>
      </c>
      <c r="AE25" s="61" t="str">
        <f t="shared" si="6"/>
        <v/>
      </c>
      <c r="AF25" s="62" t="str">
        <f t="shared" si="7"/>
        <v/>
      </c>
      <c r="AG25" s="58" t="str">
        <f>IF(E25="","",References!Q123)</f>
        <v/>
      </c>
      <c r="AH25" s="59" t="str">
        <f>IF(E25="","",INDEX(References!$AS:$AS,MATCH(ProposedEquipment0!E25,References!$AN:$AN,0)))</f>
        <v/>
      </c>
      <c r="AI25" s="59" t="str">
        <f>IF(E25="","",INDEX(References!$AT:$AT,MATCH(ProposedEquipment0!E25,References!$AN:$AN,0)))</f>
        <v/>
      </c>
      <c r="AJ25" s="59" t="str">
        <f>IF(E25="","",INDEX(References!$AQ:$AQ,MATCH(ProposedEquipment0!E25,References!$AN:$AN,0)))</f>
        <v/>
      </c>
      <c r="AK25" s="59" t="str">
        <f>IF(E25="","",INDEX(References!$AR:$AR,MATCH(ProposedEquipment0!E25,References!$AN:$AN,0)))</f>
        <v/>
      </c>
      <c r="AL25" s="68" t="str">
        <f t="shared" si="8"/>
        <v/>
      </c>
      <c r="AM25" s="69" t="str">
        <f t="shared" si="9"/>
        <v/>
      </c>
      <c r="AN25" s="70" t="str">
        <f t="shared" si="1"/>
        <v/>
      </c>
      <c r="AO25" s="71" t="str">
        <f t="shared" si="2"/>
        <v/>
      </c>
      <c r="AP25" s="53" t="str">
        <f t="shared" si="10"/>
        <v/>
      </c>
      <c r="AQ25" s="54" t="str">
        <f>IF($C25="","",INDEX(References!P$90:P$127,MATCH($E25,References!$J$73:$J$127,0))*G25)</f>
        <v/>
      </c>
      <c r="AU25" s="44" t="str">
        <f t="shared" si="3"/>
        <v/>
      </c>
      <c r="AV25" s="44" t="str">
        <f t="shared" si="4"/>
        <v/>
      </c>
      <c r="AW25" s="44" t="str">
        <f>IF(C25="","",INDEX(References!M$90:M$127,MATCH($E25,References!$J$73:$J$127,0)))</f>
        <v/>
      </c>
      <c r="AY25" t="str">
        <f t="shared" si="11"/>
        <v/>
      </c>
      <c r="AZ25" t="str">
        <f t="shared" si="12"/>
        <v/>
      </c>
    </row>
    <row r="26" spans="1:52" ht="15" x14ac:dyDescent="0.25">
      <c r="A26">
        <v>25</v>
      </c>
      <c r="C26" t="str">
        <f>IF(Worksheet!$F44="","","Refrigeration")</f>
        <v/>
      </c>
      <c r="D26" t="str">
        <f>IF(Worksheet!$F44="","","Refrigeration Insulation")</f>
        <v/>
      </c>
      <c r="E26" t="str">
        <f>IF(Worksheet!$F44="","",Worksheet!$C44)</f>
        <v/>
      </c>
      <c r="F26" s="3" t="str">
        <f t="shared" si="13"/>
        <v/>
      </c>
      <c r="G26" t="str">
        <f>IF(E26="","",Worksheet!F44)</f>
        <v/>
      </c>
      <c r="H26" t="str">
        <f>IF(C26="","",'Customer Information'!$L$40)</f>
        <v/>
      </c>
      <c r="I26" s="3" t="str">
        <f>_xlfn.IFNA(INDEX(References!L$90:L$127,MATCH($E26,References!$J$73:$J$127,0)),"")</f>
        <v/>
      </c>
      <c r="AB26" s="60" t="str">
        <f>IF($C26="","",INDEX(References!N$90:N$127,MATCH($E26,References!$J$73:$J$127,0)))</f>
        <v/>
      </c>
      <c r="AC26" s="62" t="str">
        <f>IF(D26="","",INDEX(References!O$90:O$127,MATCH($E26,References!$J$73:$J$127,0)))</f>
        <v/>
      </c>
      <c r="AD26" s="47" t="str">
        <f t="shared" si="5"/>
        <v/>
      </c>
      <c r="AE26" s="61" t="str">
        <f t="shared" si="6"/>
        <v/>
      </c>
      <c r="AF26" s="62" t="str">
        <f t="shared" si="7"/>
        <v/>
      </c>
      <c r="AG26" s="58" t="str">
        <f>IF(E26="","",References!Q124)</f>
        <v/>
      </c>
      <c r="AH26" s="59" t="str">
        <f>IF(E26="","",INDEX(References!$AS:$AS,MATCH(ProposedEquipment0!E26,References!$AN:$AN,0)))</f>
        <v/>
      </c>
      <c r="AI26" s="59" t="str">
        <f>IF(E26="","",INDEX(References!$AT:$AT,MATCH(ProposedEquipment0!E26,References!$AN:$AN,0)))</f>
        <v/>
      </c>
      <c r="AJ26" s="59" t="str">
        <f>IF(E26="","",INDEX(References!$AQ:$AQ,MATCH(ProposedEquipment0!E26,References!$AN:$AN,0)))</f>
        <v/>
      </c>
      <c r="AK26" s="59" t="str">
        <f>IF(E26="","",INDEX(References!$AR:$AR,MATCH(ProposedEquipment0!E26,References!$AN:$AN,0)))</f>
        <v/>
      </c>
      <c r="AL26" s="68" t="str">
        <f t="shared" si="8"/>
        <v/>
      </c>
      <c r="AM26" s="69" t="str">
        <f t="shared" si="9"/>
        <v/>
      </c>
      <c r="AN26" s="70" t="str">
        <f t="shared" si="1"/>
        <v/>
      </c>
      <c r="AO26" s="71" t="str">
        <f t="shared" si="2"/>
        <v/>
      </c>
      <c r="AP26" s="53" t="str">
        <f t="shared" si="10"/>
        <v/>
      </c>
      <c r="AQ26" s="54" t="str">
        <f>IF($C26="","",INDEX(References!P$90:P$127,MATCH($E26,References!$J$73:$J$127,0))*G26)</f>
        <v/>
      </c>
      <c r="AU26" s="44" t="str">
        <f t="shared" si="3"/>
        <v/>
      </c>
      <c r="AV26" s="44" t="str">
        <f t="shared" si="4"/>
        <v/>
      </c>
      <c r="AW26" s="44" t="str">
        <f>IF(C26="","",INDEX(References!M$90:M$127,MATCH($E26,References!$J$73:$J$127,0)))</f>
        <v/>
      </c>
      <c r="AY26" t="str">
        <f t="shared" si="11"/>
        <v/>
      </c>
      <c r="AZ26" t="str">
        <f t="shared" si="12"/>
        <v/>
      </c>
    </row>
    <row r="27" spans="1:52" ht="15" x14ac:dyDescent="0.25">
      <c r="A27">
        <v>26</v>
      </c>
      <c r="C27" t="str">
        <f>IF(Worksheet!$F45="","","Refrigeration")</f>
        <v/>
      </c>
      <c r="D27" t="str">
        <f>IF(Worksheet!$F45="","","Refrigeration")</f>
        <v/>
      </c>
      <c r="E27" t="str">
        <f>IF(Worksheet!$F45="","",Worksheet!$C45)</f>
        <v/>
      </c>
      <c r="F27" s="3" t="str">
        <f t="shared" si="13"/>
        <v/>
      </c>
      <c r="G27" t="str">
        <f>IF(E27="","",Worksheet!F45)</f>
        <v/>
      </c>
      <c r="H27" t="str">
        <f>IF(C27="","",'Customer Information'!$L$40)</f>
        <v/>
      </c>
      <c r="I27" s="3" t="str">
        <f>_xlfn.IFNA(INDEX(References!L$90:L$127,MATCH($E27,References!$J$73:$J$127,0)),"")</f>
        <v/>
      </c>
      <c r="AB27" s="60" t="str">
        <f>IF($C27="","",INDEX(References!N$90:N$127,MATCH($E27,References!$J$73:$J$127,0)))</f>
        <v/>
      </c>
      <c r="AC27" s="62" t="str">
        <f>IF(D27="","",INDEX(References!O$90:O$127,MATCH($E27,References!$J$73:$J$127,0)))</f>
        <v/>
      </c>
      <c r="AD27" s="47" t="str">
        <f t="shared" si="5"/>
        <v/>
      </c>
      <c r="AE27" s="61" t="str">
        <f t="shared" si="6"/>
        <v/>
      </c>
      <c r="AF27" s="62" t="str">
        <f t="shared" si="7"/>
        <v/>
      </c>
      <c r="AG27" s="58" t="str">
        <f>IF(E27="","",References!Q125)</f>
        <v/>
      </c>
      <c r="AH27" s="59" t="str">
        <f>IF(E27="","",INDEX(References!$AS:$AS,MATCH(ProposedEquipment0!E27,References!$AN:$AN,0)))</f>
        <v/>
      </c>
      <c r="AI27" s="59" t="str">
        <f>IF(E27="","",INDEX(References!$AT:$AT,MATCH(ProposedEquipment0!E27,References!$AN:$AN,0)))</f>
        <v/>
      </c>
      <c r="AJ27" s="59" t="str">
        <f>IF(E27="","",INDEX(References!$AQ:$AQ,MATCH(ProposedEquipment0!E27,References!$AN:$AN,0)))</f>
        <v/>
      </c>
      <c r="AK27" s="59" t="str">
        <f>IF(E27="","",INDEX(References!$AR:$AR,MATCH(ProposedEquipment0!E27,References!$AN:$AN,0)))</f>
        <v/>
      </c>
      <c r="AL27" s="68" t="str">
        <f t="shared" si="8"/>
        <v/>
      </c>
      <c r="AM27" s="69" t="str">
        <f t="shared" si="9"/>
        <v/>
      </c>
      <c r="AN27" s="70" t="str">
        <f t="shared" si="1"/>
        <v/>
      </c>
      <c r="AO27" s="71" t="str">
        <f t="shared" si="2"/>
        <v/>
      </c>
      <c r="AP27" s="53" t="str">
        <f t="shared" si="10"/>
        <v/>
      </c>
      <c r="AQ27" s="54" t="str">
        <f>IF($C27="","",INDEX(References!P$90:P$127,MATCH($E27,References!$J$73:$J$127,0))*G27)</f>
        <v/>
      </c>
      <c r="AU27" s="44" t="str">
        <f t="shared" si="3"/>
        <v/>
      </c>
      <c r="AV27" s="44" t="str">
        <f t="shared" si="4"/>
        <v/>
      </c>
      <c r="AW27" s="44" t="str">
        <f>IF(C27="","",INDEX(References!M$90:M$127,MATCH($E27,References!$J$73:$J$127,0)))</f>
        <v/>
      </c>
      <c r="AY27" t="str">
        <f t="shared" si="11"/>
        <v/>
      </c>
      <c r="AZ27" t="str">
        <f t="shared" si="12"/>
        <v/>
      </c>
    </row>
    <row r="28" spans="1:52" ht="15" x14ac:dyDescent="0.25">
      <c r="A28">
        <v>27</v>
      </c>
      <c r="C28" t="str">
        <f>IF(Worksheet!$F46="","","Refrigeration")</f>
        <v/>
      </c>
      <c r="D28" t="str">
        <f>IF(Worksheet!$F46="","","Refrigeration")</f>
        <v/>
      </c>
      <c r="E28" t="str">
        <f>IF(Worksheet!$F46="","",Worksheet!$C46)</f>
        <v/>
      </c>
      <c r="F28" s="3" t="str">
        <f t="shared" si="13"/>
        <v/>
      </c>
      <c r="G28" t="str">
        <f>IF(E28="","",Worksheet!F46)</f>
        <v/>
      </c>
      <c r="H28" t="str">
        <f>IF(C28="","",'Customer Information'!$L$40)</f>
        <v/>
      </c>
      <c r="I28" s="3" t="str">
        <f>_xlfn.IFNA(INDEX(References!L$90:L$127,MATCH($E28,References!$J$73:$J$127,0)),"")</f>
        <v/>
      </c>
      <c r="AB28" s="60" t="str">
        <f>IF($C28="","",INDEX(References!N$90:N$127,MATCH($E28,References!$J$73:$J$127,0)))</f>
        <v/>
      </c>
      <c r="AC28" s="62" t="str">
        <f>IF(D28="","",INDEX(References!O$90:O$127,MATCH($E28,References!$J$73:$J$127,0)))</f>
        <v/>
      </c>
      <c r="AD28" s="47" t="str">
        <f t="shared" si="5"/>
        <v/>
      </c>
      <c r="AE28" s="61" t="str">
        <f t="shared" si="6"/>
        <v/>
      </c>
      <c r="AF28" s="62" t="str">
        <f t="shared" si="7"/>
        <v/>
      </c>
      <c r="AG28" s="58" t="str">
        <f>IF(E28="","",References!Q126)</f>
        <v/>
      </c>
      <c r="AH28" s="59" t="str">
        <f>IF(E28="","",INDEX(References!$AS:$AS,MATCH(ProposedEquipment0!E28,References!$AN:$AN,0)))</f>
        <v/>
      </c>
      <c r="AI28" s="59" t="str">
        <f>IF(E28="","",INDEX(References!$AT:$AT,MATCH(ProposedEquipment0!E28,References!$AN:$AN,0)))</f>
        <v/>
      </c>
      <c r="AJ28" s="59" t="str">
        <f>IF(E28="","",INDEX(References!$AQ:$AQ,MATCH(ProposedEquipment0!E28,References!$AN:$AN,0)))</f>
        <v/>
      </c>
      <c r="AK28" s="59" t="str">
        <f>IF(E28="","",INDEX(References!$AR:$AR,MATCH(ProposedEquipment0!E28,References!$AN:$AN,0)))</f>
        <v/>
      </c>
      <c r="AL28" s="68" t="str">
        <f t="shared" si="8"/>
        <v/>
      </c>
      <c r="AM28" s="69" t="str">
        <f t="shared" si="9"/>
        <v/>
      </c>
      <c r="AN28" s="70" t="str">
        <f t="shared" si="1"/>
        <v/>
      </c>
      <c r="AO28" s="71" t="str">
        <f t="shared" si="2"/>
        <v/>
      </c>
      <c r="AP28" s="53" t="str">
        <f t="shared" si="10"/>
        <v/>
      </c>
      <c r="AQ28" s="54" t="str">
        <f>IF($C28="","",INDEX(References!P$90:P$127,MATCH($E28,References!$J$73:$J$127,0))*G28)</f>
        <v/>
      </c>
      <c r="AU28" s="44" t="str">
        <f t="shared" si="3"/>
        <v/>
      </c>
      <c r="AV28" s="44" t="str">
        <f t="shared" si="4"/>
        <v/>
      </c>
      <c r="AW28" s="44" t="str">
        <f>IF(C28="","",INDEX(References!M$90:M$127,MATCH($E28,References!$J$73:$J$127,0)))</f>
        <v/>
      </c>
      <c r="AY28" t="str">
        <f t="shared" si="11"/>
        <v/>
      </c>
      <c r="AZ28" t="str">
        <f t="shared" si="12"/>
        <v/>
      </c>
    </row>
    <row r="29" spans="1:52" ht="15" x14ac:dyDescent="0.25">
      <c r="AL29" s="68"/>
      <c r="AM29" s="69"/>
      <c r="AP29" s="53"/>
      <c r="AQ29" s="53"/>
    </row>
    <row r="30" spans="1:52" ht="15" x14ac:dyDescent="0.25">
      <c r="B30" s="22"/>
      <c r="AL30" s="68"/>
      <c r="AM30" s="69"/>
      <c r="AP30" s="53"/>
      <c r="AQ30" s="53"/>
    </row>
    <row r="31" spans="1:52" ht="15" x14ac:dyDescent="0.25">
      <c r="B31" s="22"/>
      <c r="AL31" s="68"/>
      <c r="AM31" s="69"/>
      <c r="AP31" s="53"/>
      <c r="AQ31" s="53"/>
    </row>
    <row r="32" spans="1:52" ht="15" x14ac:dyDescent="0.25">
      <c r="B32" s="23"/>
      <c r="C32" s="2"/>
      <c r="D32" s="2"/>
      <c r="E32" s="2"/>
      <c r="F32" s="35"/>
      <c r="AG32" s="16"/>
      <c r="AH32" s="16"/>
      <c r="AI32" s="16"/>
      <c r="AJ32" s="17"/>
      <c r="AK32" s="17"/>
      <c r="AL32" s="68"/>
      <c r="AM32" s="69"/>
      <c r="AN32" s="20"/>
      <c r="AO32" s="21"/>
      <c r="AP32" s="53"/>
      <c r="AQ32" s="53"/>
    </row>
    <row r="33" spans="2:43" ht="15" x14ac:dyDescent="0.25">
      <c r="B33" s="22"/>
      <c r="AP33" s="53"/>
      <c r="AQ33" s="53"/>
    </row>
    <row r="34" spans="2:43" ht="15" x14ac:dyDescent="0.25">
      <c r="B34" s="22"/>
      <c r="AP34" s="53"/>
      <c r="AQ34" s="53"/>
    </row>
    <row r="35" spans="2:43" ht="15" x14ac:dyDescent="0.25">
      <c r="B35" s="24"/>
      <c r="AP35" s="53"/>
      <c r="AQ35" s="53"/>
    </row>
    <row r="36" spans="2:43" ht="15" x14ac:dyDescent="0.25">
      <c r="B36" s="22"/>
      <c r="AP36" s="53"/>
      <c r="AQ36" s="53"/>
    </row>
    <row r="37" spans="2:43" ht="15" x14ac:dyDescent="0.25">
      <c r="B37" s="24"/>
      <c r="AP37" s="53"/>
      <c r="AQ37" s="53"/>
    </row>
    <row r="38" spans="2:43" ht="15" x14ac:dyDescent="0.25">
      <c r="B38" s="23"/>
      <c r="AG38" s="16"/>
      <c r="AH38" s="16"/>
      <c r="AI38" s="16"/>
      <c r="AJ38" s="17"/>
      <c r="AK38" s="17"/>
      <c r="AL38" s="18"/>
      <c r="AM38" s="19"/>
      <c r="AN38" s="20"/>
      <c r="AO38" s="21"/>
      <c r="AP38" s="53"/>
      <c r="AQ38" s="53"/>
    </row>
    <row r="39" spans="2:43" ht="15" x14ac:dyDescent="0.25">
      <c r="B39" s="2"/>
      <c r="AG39" s="16"/>
      <c r="AH39" s="16"/>
      <c r="AI39" s="16"/>
      <c r="AJ39" s="17"/>
      <c r="AK39" s="17"/>
      <c r="AL39" s="18"/>
      <c r="AM39" s="19"/>
      <c r="AN39" s="20"/>
      <c r="AO39" s="21"/>
      <c r="AP39" s="53"/>
      <c r="AQ39" s="53"/>
    </row>
    <row r="40" spans="2:43" ht="15" x14ac:dyDescent="0.25">
      <c r="B40" s="23"/>
      <c r="AG40" s="16"/>
      <c r="AH40" s="16"/>
      <c r="AI40" s="16"/>
      <c r="AJ40" s="17"/>
      <c r="AK40" s="17"/>
      <c r="AL40" s="18"/>
      <c r="AM40" s="19"/>
      <c r="AN40" s="20"/>
      <c r="AO40" s="21"/>
      <c r="AP40" s="53"/>
      <c r="AQ40" s="53"/>
    </row>
    <row r="41" spans="2:43" ht="15" x14ac:dyDescent="0.25">
      <c r="B41" s="2"/>
      <c r="AG41" s="16"/>
      <c r="AH41" s="16"/>
      <c r="AI41" s="16"/>
      <c r="AJ41" s="17"/>
      <c r="AK41" s="17"/>
      <c r="AL41" s="18"/>
      <c r="AM41" s="19"/>
      <c r="AN41" s="20"/>
      <c r="AO41" s="21"/>
      <c r="AP41" s="53"/>
      <c r="AQ41" s="53"/>
    </row>
    <row r="42" spans="2:43" ht="15" x14ac:dyDescent="0.25">
      <c r="B42" s="2"/>
      <c r="AG42" s="16"/>
      <c r="AH42" s="16"/>
      <c r="AI42" s="16"/>
      <c r="AJ42" s="17"/>
      <c r="AK42" s="17"/>
      <c r="AL42" s="18"/>
      <c r="AM42" s="19"/>
      <c r="AN42" s="20"/>
      <c r="AO42" s="21"/>
      <c r="AP42" s="53"/>
      <c r="AQ42" s="53"/>
    </row>
    <row r="43" spans="2:43" ht="15" x14ac:dyDescent="0.25">
      <c r="B43" s="2"/>
      <c r="AG43" s="16"/>
      <c r="AH43" s="16"/>
      <c r="AI43" s="16"/>
      <c r="AJ43" s="17"/>
      <c r="AK43" s="17"/>
      <c r="AL43" s="18"/>
      <c r="AM43" s="19"/>
      <c r="AN43" s="20"/>
      <c r="AO43" s="21"/>
      <c r="AP43" s="53"/>
      <c r="AQ43" s="53"/>
    </row>
    <row r="44" spans="2:43" ht="15" x14ac:dyDescent="0.25">
      <c r="B44" s="2"/>
      <c r="AG44" s="16"/>
      <c r="AH44" s="16"/>
      <c r="AI44" s="16"/>
      <c r="AJ44" s="17"/>
      <c r="AK44" s="17"/>
      <c r="AL44" s="18"/>
      <c r="AM44" s="19"/>
      <c r="AN44" s="20"/>
      <c r="AO44" s="21"/>
      <c r="AP44" s="53"/>
      <c r="AQ44" s="53"/>
    </row>
    <row r="45" spans="2:43" ht="15" x14ac:dyDescent="0.25">
      <c r="B45" s="2"/>
      <c r="AG45" s="16"/>
      <c r="AH45" s="16"/>
      <c r="AI45" s="16"/>
      <c r="AJ45" s="17"/>
      <c r="AK45" s="17"/>
      <c r="AL45" s="18"/>
      <c r="AM45" s="19"/>
      <c r="AN45" s="20"/>
      <c r="AO45" s="21"/>
      <c r="AP45" s="53"/>
      <c r="AQ45" s="53"/>
    </row>
    <row r="46" spans="2:43" ht="15" x14ac:dyDescent="0.25">
      <c r="B46" s="23"/>
      <c r="AG46" s="16"/>
      <c r="AH46" s="16"/>
      <c r="AI46" s="16"/>
      <c r="AJ46" s="17"/>
      <c r="AK46" s="17"/>
      <c r="AL46" s="18"/>
      <c r="AM46" s="19"/>
      <c r="AN46" s="20"/>
      <c r="AO46" s="21"/>
      <c r="AP46" s="53"/>
      <c r="AQ46" s="53"/>
    </row>
    <row r="47" spans="2:43" ht="15" x14ac:dyDescent="0.25">
      <c r="B47" s="23"/>
      <c r="AG47" s="16"/>
      <c r="AH47" s="16"/>
      <c r="AI47" s="16"/>
      <c r="AJ47" s="17"/>
      <c r="AK47" s="17"/>
      <c r="AL47" s="18"/>
      <c r="AM47" s="19"/>
      <c r="AN47" s="20"/>
      <c r="AO47" s="21"/>
      <c r="AP47" s="53"/>
      <c r="AQ47" s="53"/>
    </row>
    <row r="48" spans="2:43" ht="15" x14ac:dyDescent="0.25">
      <c r="B48" s="23"/>
      <c r="AG48" s="16"/>
      <c r="AH48" s="16"/>
      <c r="AI48" s="16"/>
      <c r="AJ48" s="17"/>
      <c r="AK48" s="17"/>
      <c r="AL48" s="18"/>
      <c r="AM48" s="19"/>
      <c r="AN48" s="20"/>
      <c r="AO48" s="21"/>
      <c r="AP48" s="53"/>
      <c r="AQ48" s="53"/>
    </row>
    <row r="49" spans="2:43" ht="15" x14ac:dyDescent="0.25">
      <c r="B49" s="23"/>
      <c r="AG49" s="16"/>
      <c r="AH49" s="16"/>
      <c r="AI49" s="16"/>
      <c r="AJ49" s="17"/>
      <c r="AK49" s="17"/>
      <c r="AL49" s="18"/>
      <c r="AM49" s="19"/>
      <c r="AN49" s="20"/>
      <c r="AO49" s="21"/>
      <c r="AP49" s="53"/>
      <c r="AQ49" s="53"/>
    </row>
    <row r="50" spans="2:43" ht="15" x14ac:dyDescent="0.25">
      <c r="B50" s="23"/>
      <c r="AG50" s="16"/>
      <c r="AH50" s="16"/>
      <c r="AI50" s="16"/>
      <c r="AJ50" s="17"/>
      <c r="AK50" s="17"/>
      <c r="AL50" s="18"/>
      <c r="AM50" s="19"/>
      <c r="AN50" s="20"/>
      <c r="AO50" s="21"/>
      <c r="AP50" s="53"/>
      <c r="AQ50" s="53"/>
    </row>
    <row r="51" spans="2:43" ht="15" x14ac:dyDescent="0.25">
      <c r="B51" s="23"/>
      <c r="AP51" s="53"/>
      <c r="AQ51" s="53"/>
    </row>
    <row r="52" spans="2:43" ht="15" x14ac:dyDescent="0.25">
      <c r="AG52" s="16"/>
      <c r="AH52" s="16"/>
      <c r="AI52" s="16"/>
      <c r="AJ52" s="17"/>
      <c r="AK52" s="17"/>
      <c r="AL52" s="18"/>
      <c r="AM52" s="19"/>
      <c r="AN52" s="20"/>
      <c r="AO52" s="21"/>
      <c r="AP52" s="53"/>
      <c r="AQ52" s="53"/>
    </row>
    <row r="53" spans="2:43" ht="15" x14ac:dyDescent="0.25">
      <c r="AG53" s="16"/>
      <c r="AH53" s="16"/>
      <c r="AI53" s="16"/>
      <c r="AJ53" s="17"/>
      <c r="AK53" s="17"/>
      <c r="AL53" s="18"/>
      <c r="AM53" s="19"/>
      <c r="AN53" s="20"/>
      <c r="AO53" s="21"/>
      <c r="AP53" s="53"/>
      <c r="AQ53" s="53"/>
    </row>
    <row r="54" spans="2:43" ht="15" x14ac:dyDescent="0.25">
      <c r="AG54" s="16"/>
      <c r="AH54" s="16"/>
      <c r="AI54" s="16"/>
      <c r="AJ54" s="17"/>
      <c r="AK54" s="17"/>
      <c r="AL54" s="18"/>
      <c r="AM54" s="19"/>
      <c r="AN54" s="20"/>
      <c r="AO54" s="21"/>
      <c r="AP54" s="53"/>
      <c r="AQ54" s="53"/>
    </row>
    <row r="55" spans="2:43" ht="15" x14ac:dyDescent="0.25">
      <c r="AG55" s="16"/>
      <c r="AH55" s="16"/>
      <c r="AI55" s="16"/>
      <c r="AJ55" s="17"/>
      <c r="AK55" s="17"/>
      <c r="AL55" s="18"/>
      <c r="AM55" s="19"/>
      <c r="AN55" s="20"/>
      <c r="AO55" s="21"/>
      <c r="AP55" s="53"/>
      <c r="AQ55" s="53"/>
    </row>
    <row r="56" spans="2:43" ht="15" x14ac:dyDescent="0.25">
      <c r="AP56" s="53"/>
      <c r="AQ56" s="53"/>
    </row>
    <row r="57" spans="2:43" ht="15" x14ac:dyDescent="0.25">
      <c r="AP57" s="53"/>
      <c r="AQ57" s="53"/>
    </row>
    <row r="58" spans="2:43" ht="15" x14ac:dyDescent="0.25">
      <c r="AP58" s="53"/>
      <c r="AQ58" s="53"/>
    </row>
    <row r="59" spans="2:43" ht="15" x14ac:dyDescent="0.25">
      <c r="AP59" s="53"/>
      <c r="AQ59" s="53"/>
    </row>
    <row r="60" spans="2:43" ht="15" x14ac:dyDescent="0.25">
      <c r="AP60" s="53"/>
      <c r="AQ60" s="53"/>
    </row>
    <row r="61" spans="2:43" ht="15" x14ac:dyDescent="0.25">
      <c r="AP61" s="53"/>
      <c r="AQ61" s="53"/>
    </row>
    <row r="62" spans="2:43" ht="15" x14ac:dyDescent="0.25">
      <c r="AP62" s="53"/>
      <c r="AQ62" s="53"/>
    </row>
    <row r="63" spans="2:43" ht="15" x14ac:dyDescent="0.25">
      <c r="AP63" s="53"/>
      <c r="AQ63" s="53"/>
    </row>
    <row r="64" spans="2:43" ht="15" x14ac:dyDescent="0.25">
      <c r="AP64" s="53"/>
      <c r="AQ64" s="53"/>
    </row>
    <row r="65" spans="33:43" ht="15" x14ac:dyDescent="0.25">
      <c r="AP65" s="53"/>
      <c r="AQ65" s="53"/>
    </row>
    <row r="66" spans="33:43" ht="15" x14ac:dyDescent="0.25">
      <c r="AG66" s="16"/>
      <c r="AH66" s="16"/>
      <c r="AI66" s="16"/>
      <c r="AJ66" s="17"/>
      <c r="AK66" s="17"/>
      <c r="AL66" s="18"/>
      <c r="AM66" s="19"/>
      <c r="AN66" s="20"/>
      <c r="AO66" s="21"/>
      <c r="AP66" s="53"/>
      <c r="AQ66" s="53"/>
    </row>
    <row r="67" spans="33:43" ht="15" x14ac:dyDescent="0.25">
      <c r="AG67" s="16"/>
      <c r="AH67" s="16"/>
      <c r="AI67" s="16"/>
      <c r="AJ67" s="17"/>
      <c r="AK67" s="17"/>
      <c r="AL67" s="18"/>
      <c r="AM67" s="19"/>
      <c r="AN67" s="20"/>
      <c r="AO67" s="21"/>
      <c r="AP67" s="53"/>
      <c r="AQ67" s="53"/>
    </row>
    <row r="68" spans="33:43" ht="15" x14ac:dyDescent="0.25">
      <c r="AG68" s="16"/>
      <c r="AH68" s="16"/>
      <c r="AI68" s="16"/>
      <c r="AJ68" s="17"/>
      <c r="AK68" s="17"/>
      <c r="AL68" s="18"/>
      <c r="AM68" s="19"/>
      <c r="AN68" s="20"/>
      <c r="AO68" s="21"/>
      <c r="AP68" s="53"/>
      <c r="AQ68" s="53"/>
    </row>
    <row r="69" spans="33:43" ht="15" x14ac:dyDescent="0.25">
      <c r="AG69" s="16"/>
      <c r="AH69" s="16"/>
      <c r="AI69" s="16"/>
      <c r="AJ69" s="17"/>
      <c r="AK69" s="17"/>
      <c r="AL69" s="18"/>
      <c r="AM69" s="19"/>
      <c r="AN69" s="20"/>
      <c r="AO69" s="21"/>
      <c r="AP69" s="53"/>
      <c r="AQ69" s="53"/>
    </row>
    <row r="70" spans="33:43" ht="15" x14ac:dyDescent="0.25">
      <c r="AG70" s="16"/>
      <c r="AH70" s="16"/>
      <c r="AI70" s="16"/>
      <c r="AJ70" s="17"/>
      <c r="AK70" s="17"/>
      <c r="AL70" s="18"/>
      <c r="AM70" s="19"/>
      <c r="AN70" s="20"/>
      <c r="AO70" s="21"/>
      <c r="AP70" s="53"/>
      <c r="AQ70" s="53"/>
    </row>
    <row r="71" spans="33:43" ht="15" x14ac:dyDescent="0.25">
      <c r="AG71" s="16"/>
      <c r="AH71" s="16"/>
      <c r="AI71" s="16"/>
      <c r="AJ71" s="17"/>
      <c r="AK71" s="17"/>
      <c r="AL71" s="18"/>
      <c r="AM71" s="19"/>
      <c r="AN71" s="20"/>
      <c r="AO71" s="21"/>
      <c r="AP71" s="53"/>
      <c r="AQ71" s="53"/>
    </row>
    <row r="72" spans="33:43" ht="15" x14ac:dyDescent="0.25">
      <c r="AG72" s="16"/>
      <c r="AH72" s="16"/>
      <c r="AI72" s="16"/>
      <c r="AJ72" s="17"/>
      <c r="AK72" s="17"/>
      <c r="AL72" s="18"/>
      <c r="AM72" s="19"/>
      <c r="AN72" s="20"/>
      <c r="AO72" s="21"/>
      <c r="AP72" s="53"/>
      <c r="AQ72" s="53"/>
    </row>
    <row r="73" spans="33:43" ht="15" x14ac:dyDescent="0.25">
      <c r="AG73" s="16"/>
      <c r="AH73" s="16"/>
      <c r="AI73" s="16"/>
      <c r="AJ73" s="17"/>
      <c r="AK73" s="17"/>
      <c r="AL73" s="18"/>
      <c r="AM73" s="19"/>
      <c r="AN73" s="20"/>
      <c r="AO73" s="21"/>
      <c r="AP73" s="53"/>
      <c r="AQ73" s="53"/>
    </row>
    <row r="74" spans="33:43" ht="15" x14ac:dyDescent="0.25">
      <c r="AG74" s="16"/>
      <c r="AH74" s="16"/>
      <c r="AI74" s="16"/>
      <c r="AJ74" s="17"/>
      <c r="AK74" s="17"/>
      <c r="AL74" s="18"/>
      <c r="AM74" s="19"/>
      <c r="AN74" s="20"/>
      <c r="AO74" s="21"/>
      <c r="AP74" s="53"/>
      <c r="AQ74" s="53"/>
    </row>
    <row r="75" spans="33:43" ht="15" x14ac:dyDescent="0.25">
      <c r="AG75" s="16"/>
      <c r="AH75" s="16"/>
      <c r="AI75" s="16"/>
      <c r="AJ75" s="17"/>
      <c r="AK75" s="17"/>
      <c r="AL75" s="18"/>
      <c r="AM75" s="19"/>
      <c r="AN75" s="20"/>
      <c r="AO75" s="21"/>
      <c r="AP75" s="53"/>
      <c r="AQ75" s="53"/>
    </row>
    <row r="76" spans="33:43" ht="15" x14ac:dyDescent="0.25">
      <c r="AG76" s="16"/>
      <c r="AH76" s="16"/>
      <c r="AI76" s="16"/>
      <c r="AJ76" s="17"/>
      <c r="AK76" s="17"/>
      <c r="AL76" s="18"/>
      <c r="AM76" s="19"/>
      <c r="AN76" s="20"/>
      <c r="AO76" s="21"/>
      <c r="AP76" s="53"/>
      <c r="AQ76" s="53"/>
    </row>
    <row r="77" spans="33:43" ht="15" x14ac:dyDescent="0.25">
      <c r="AG77" s="16"/>
      <c r="AH77" s="16"/>
      <c r="AI77" s="16"/>
      <c r="AJ77" s="17"/>
      <c r="AK77" s="17"/>
      <c r="AL77" s="18"/>
      <c r="AM77" s="19"/>
      <c r="AN77" s="20"/>
      <c r="AO77" s="21"/>
      <c r="AP77" s="53"/>
      <c r="AQ77" s="53"/>
    </row>
    <row r="78" spans="33:43" ht="15" x14ac:dyDescent="0.25">
      <c r="AG78" s="16"/>
      <c r="AH78" s="16"/>
      <c r="AI78" s="16"/>
      <c r="AJ78" s="17"/>
      <c r="AK78" s="17"/>
      <c r="AL78" s="18"/>
      <c r="AM78" s="19"/>
      <c r="AN78" s="20"/>
      <c r="AO78" s="21"/>
      <c r="AP78" s="53"/>
      <c r="AQ78" s="53"/>
    </row>
    <row r="79" spans="33:43" ht="15" x14ac:dyDescent="0.25">
      <c r="AG79" s="16"/>
      <c r="AH79" s="16"/>
      <c r="AI79" s="16"/>
      <c r="AJ79" s="17"/>
      <c r="AK79" s="17"/>
      <c r="AL79" s="18"/>
      <c r="AM79" s="19"/>
      <c r="AN79" s="20"/>
      <c r="AO79" s="21"/>
      <c r="AP79" s="53"/>
      <c r="AQ79" s="53"/>
    </row>
  </sheetData>
  <conditionalFormatting sqref="I2:AQ28">
    <cfRule type="expression" dxfId="2" priority="1" stopIfTrue="1">
      <formula>IF(ISBLANK(I2),TRUE,FALSE)</formula>
    </cfRule>
  </conditionalFormatting>
  <conditionalFormatting sqref="AR2:AX3 AX4:AX26 AR4:AW28">
    <cfRule type="expression" dxfId="1" priority="9" stopIfTrue="1">
      <formula>IF(ISBLANK(AR2),TRUE,FALSE)</formula>
    </cfRule>
  </conditionalFormatting>
  <pageMargins left="0.7" right="0.7" top="0.75" bottom="0.75" header="0.3" footer="0.3"/>
  <pageSetup orientation="portrait" horizontalDpi="4294967295" verticalDpi="4294967295"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B050"/>
    <pageSetUpPr fitToPage="1"/>
  </sheetPr>
  <dimension ref="A1:IV65522"/>
  <sheetViews>
    <sheetView showGridLines="0" tabSelected="1" zoomScaleNormal="100" zoomScalePageLayoutView="85" workbookViewId="0"/>
  </sheetViews>
  <sheetFormatPr defaultColWidth="0" defaultRowHeight="16.5" zeroHeight="1" x14ac:dyDescent="0.3"/>
  <cols>
    <col min="1" max="1" width="16.7109375" style="91" customWidth="1"/>
    <col min="2" max="2" width="15.140625" style="91" customWidth="1"/>
    <col min="3" max="4" width="13.5703125" style="91" customWidth="1"/>
    <col min="5" max="5" width="13.85546875" style="91" customWidth="1"/>
    <col min="6" max="6" width="13.5703125" style="91" customWidth="1"/>
    <col min="7" max="7" width="1.5703125" style="91" customWidth="1"/>
    <col min="8" max="8" width="15.85546875" style="91" bestFit="1" customWidth="1"/>
    <col min="9" max="12" width="13.5703125" style="91" customWidth="1"/>
    <col min="13" max="255" width="9.140625" style="91" hidden="1" customWidth="1"/>
    <col min="256" max="16384" width="0" style="91" hidden="1"/>
  </cols>
  <sheetData>
    <row r="1" spans="1:256" ht="60" customHeight="1" x14ac:dyDescent="0.3">
      <c r="A1" s="265" t="str">
        <f>Development!A1</f>
        <v>2025 Commercial Efficiency Program</v>
      </c>
      <c r="B1" s="266"/>
      <c r="C1" s="266"/>
      <c r="D1" s="266"/>
      <c r="E1" s="266"/>
      <c r="F1" s="266"/>
      <c r="G1" s="266"/>
      <c r="H1" s="268"/>
      <c r="I1" s="268"/>
      <c r="J1" s="268"/>
      <c r="K1" s="268"/>
      <c r="L1" s="268"/>
    </row>
    <row r="2" spans="1:256" ht="60" customHeight="1" thickBot="1" x14ac:dyDescent="0.35">
      <c r="A2" s="267" t="str">
        <f>"     "&amp;"Refrigeration Rebate Application, Version"&amp;" "&amp;Development!B3</f>
        <v xml:space="preserve">     Refrigeration Rebate Application, Version 1.0</v>
      </c>
      <c r="B2" s="266"/>
      <c r="C2" s="266"/>
      <c r="D2" s="266"/>
      <c r="E2" s="266"/>
      <c r="F2" s="266"/>
      <c r="G2" s="266"/>
      <c r="H2" s="268"/>
      <c r="I2" s="268"/>
      <c r="J2" s="268"/>
      <c r="K2" s="268"/>
      <c r="L2" s="268"/>
    </row>
    <row r="3" spans="1:256" ht="40.35" customHeight="1" thickTop="1" x14ac:dyDescent="0.3">
      <c r="A3" s="365" t="s">
        <v>542</v>
      </c>
      <c r="B3" s="365"/>
      <c r="C3" s="365"/>
      <c r="D3" s="365"/>
      <c r="E3" s="365"/>
      <c r="F3" s="365"/>
      <c r="G3" s="365"/>
      <c r="H3" s="365"/>
      <c r="I3" s="365"/>
      <c r="J3" s="365"/>
      <c r="K3" s="365"/>
      <c r="L3" s="365"/>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229"/>
      <c r="FE3" s="229"/>
      <c r="FF3" s="229"/>
      <c r="FG3" s="229"/>
      <c r="FH3" s="229"/>
      <c r="FI3" s="229"/>
      <c r="FJ3" s="229"/>
      <c r="FK3" s="229"/>
      <c r="FL3" s="229"/>
      <c r="FM3" s="229"/>
      <c r="FN3" s="229"/>
      <c r="FO3" s="229"/>
      <c r="FP3" s="229"/>
      <c r="FQ3" s="229"/>
      <c r="FR3" s="229"/>
      <c r="FS3" s="229"/>
      <c r="FT3" s="229"/>
      <c r="FU3" s="229"/>
      <c r="FV3" s="229"/>
      <c r="FW3" s="229"/>
      <c r="FX3" s="229"/>
      <c r="FY3" s="229"/>
      <c r="FZ3" s="229"/>
      <c r="GA3" s="229"/>
      <c r="GB3" s="229"/>
      <c r="GC3" s="229"/>
      <c r="GD3" s="229"/>
      <c r="GE3" s="229"/>
      <c r="GF3" s="229"/>
      <c r="GG3" s="229"/>
      <c r="GH3" s="229"/>
      <c r="GI3" s="229"/>
      <c r="GJ3" s="229"/>
      <c r="GK3" s="229"/>
      <c r="GL3" s="229"/>
      <c r="GM3" s="229"/>
      <c r="GN3" s="229"/>
      <c r="GO3" s="229"/>
      <c r="GP3" s="229"/>
      <c r="GQ3" s="229"/>
      <c r="GR3" s="229"/>
      <c r="GS3" s="229"/>
      <c r="GT3" s="229"/>
      <c r="GU3" s="229"/>
      <c r="GV3" s="229"/>
      <c r="GW3" s="229"/>
      <c r="GX3" s="229"/>
      <c r="GY3" s="229"/>
      <c r="GZ3" s="229"/>
      <c r="HA3" s="229"/>
      <c r="HB3" s="229"/>
      <c r="HC3" s="229"/>
      <c r="HD3" s="229"/>
      <c r="HE3" s="229"/>
      <c r="HF3" s="229"/>
      <c r="HG3" s="229"/>
      <c r="HH3" s="229"/>
      <c r="HI3" s="229"/>
      <c r="HJ3" s="229"/>
      <c r="HK3" s="229"/>
      <c r="HL3" s="229"/>
      <c r="HM3" s="229"/>
      <c r="HN3" s="229"/>
      <c r="HO3" s="229"/>
      <c r="HP3" s="229"/>
      <c r="HQ3" s="229"/>
      <c r="HR3" s="229"/>
      <c r="HS3" s="229"/>
      <c r="HT3" s="229"/>
      <c r="HU3" s="229"/>
      <c r="HV3" s="229"/>
      <c r="HW3" s="229"/>
      <c r="HX3" s="229"/>
      <c r="HY3" s="229"/>
      <c r="HZ3" s="229"/>
      <c r="IA3" s="229"/>
      <c r="IB3" s="229"/>
      <c r="IC3" s="229"/>
      <c r="ID3" s="229"/>
      <c r="IE3" s="229"/>
      <c r="IF3" s="229"/>
      <c r="IG3" s="229"/>
      <c r="IH3" s="229"/>
      <c r="II3" s="229"/>
      <c r="IJ3" s="229"/>
      <c r="IK3" s="229"/>
      <c r="IL3" s="229"/>
      <c r="IM3" s="229"/>
      <c r="IN3" s="229"/>
      <c r="IO3" s="229"/>
      <c r="IP3" s="229"/>
      <c r="IQ3" s="229"/>
      <c r="IR3" s="229"/>
      <c r="IS3" s="229"/>
      <c r="IT3" s="229"/>
      <c r="IU3" s="229"/>
      <c r="IV3" s="229"/>
    </row>
    <row r="4" spans="1:256" s="92" customFormat="1" ht="27" customHeight="1" thickBot="1" x14ac:dyDescent="0.35">
      <c r="A4" s="367" t="s">
        <v>0</v>
      </c>
      <c r="B4" s="367"/>
      <c r="C4" s="367"/>
      <c r="D4" s="367"/>
      <c r="E4" s="367"/>
      <c r="F4" s="367"/>
      <c r="G4" s="367"/>
      <c r="H4" s="367"/>
      <c r="I4" s="367"/>
      <c r="J4" s="367"/>
      <c r="K4" s="367"/>
      <c r="L4" s="367"/>
    </row>
    <row r="5" spans="1:256" ht="28.35" customHeight="1" x14ac:dyDescent="0.3">
      <c r="A5" s="361" t="s">
        <v>214</v>
      </c>
      <c r="B5" s="361"/>
      <c r="C5" s="358"/>
      <c r="D5" s="358"/>
      <c r="E5" s="358"/>
      <c r="F5" s="358"/>
      <c r="J5" s="93" t="s">
        <v>4</v>
      </c>
      <c r="K5" s="358"/>
      <c r="L5" s="358"/>
    </row>
    <row r="6" spans="1:256" ht="28.35" customHeight="1" x14ac:dyDescent="0.3">
      <c r="A6" s="361" t="s">
        <v>1</v>
      </c>
      <c r="B6" s="361"/>
      <c r="C6" s="358"/>
      <c r="D6" s="358"/>
      <c r="E6" s="358"/>
      <c r="F6" s="358"/>
      <c r="J6" s="93" t="s">
        <v>3</v>
      </c>
      <c r="K6" s="358"/>
      <c r="L6" s="358"/>
    </row>
    <row r="7" spans="1:256" ht="28.35" customHeight="1" x14ac:dyDescent="0.3">
      <c r="A7" s="361" t="s">
        <v>2</v>
      </c>
      <c r="B7" s="361"/>
      <c r="C7" s="363"/>
      <c r="D7" s="363"/>
      <c r="E7" s="363"/>
      <c r="F7" s="363"/>
      <c r="H7" s="93" t="s">
        <v>5</v>
      </c>
      <c r="I7" s="358"/>
      <c r="J7" s="358"/>
      <c r="K7" s="93" t="s">
        <v>6</v>
      </c>
      <c r="L7" s="28"/>
    </row>
    <row r="8" spans="1:256" ht="28.35" customHeight="1" x14ac:dyDescent="0.3">
      <c r="A8" s="370" t="s">
        <v>100</v>
      </c>
      <c r="B8" s="356"/>
      <c r="C8" s="363"/>
      <c r="D8" s="363"/>
      <c r="E8" s="363"/>
      <c r="F8" s="363"/>
      <c r="H8" s="93" t="s">
        <v>5</v>
      </c>
      <c r="I8" s="363"/>
      <c r="J8" s="363"/>
      <c r="K8" s="93" t="s">
        <v>6</v>
      </c>
      <c r="L8" s="28"/>
    </row>
    <row r="9" spans="1:256" ht="28.35" customHeight="1" x14ac:dyDescent="0.3">
      <c r="A9" s="361" t="s">
        <v>12</v>
      </c>
      <c r="B9" s="361"/>
      <c r="C9" s="363"/>
      <c r="D9" s="363"/>
      <c r="E9" s="363"/>
      <c r="F9" s="363"/>
      <c r="I9" s="368" t="s">
        <v>8</v>
      </c>
      <c r="J9" s="368"/>
      <c r="K9" s="379"/>
      <c r="L9" s="379"/>
    </row>
    <row r="10" spans="1:256" ht="28.35" customHeight="1" x14ac:dyDescent="0.3">
      <c r="A10" s="361" t="s">
        <v>7</v>
      </c>
      <c r="B10" s="361"/>
      <c r="C10" s="363"/>
      <c r="D10" s="363"/>
      <c r="E10" s="363"/>
      <c r="F10" s="363"/>
      <c r="I10" s="371" t="s">
        <v>9</v>
      </c>
      <c r="J10" s="371"/>
      <c r="K10" s="379"/>
      <c r="L10" s="379"/>
    </row>
    <row r="11" spans="1:256" ht="28.35" customHeight="1" x14ac:dyDescent="0.3">
      <c r="A11" s="361" t="s">
        <v>11</v>
      </c>
      <c r="B11" s="361"/>
      <c r="C11" s="369"/>
      <c r="D11" s="369"/>
      <c r="E11" s="369"/>
      <c r="F11" s="369"/>
      <c r="I11" s="371" t="s">
        <v>10</v>
      </c>
      <c r="J11" s="371"/>
      <c r="K11" s="366"/>
      <c r="L11" s="366"/>
    </row>
    <row r="12" spans="1:256" s="94" customFormat="1" x14ac:dyDescent="0.3">
      <c r="A12"/>
      <c r="B12"/>
      <c r="C12"/>
      <c r="D12"/>
      <c r="E12"/>
      <c r="F12"/>
      <c r="G12"/>
      <c r="H12"/>
      <c r="I12"/>
      <c r="J12"/>
      <c r="K12"/>
      <c r="L12"/>
    </row>
    <row r="13" spans="1:256" ht="25.35" customHeight="1" x14ac:dyDescent="0.3">
      <c r="A13" s="356" t="s">
        <v>13</v>
      </c>
      <c r="B13" s="356"/>
      <c r="C13" s="357" t="s">
        <v>766</v>
      </c>
      <c r="D13" s="357"/>
      <c r="E13" s="357"/>
      <c r="H13" s="372" t="s">
        <v>51</v>
      </c>
      <c r="I13" s="372"/>
      <c r="J13" s="355"/>
      <c r="K13" s="355"/>
      <c r="L13" s="355"/>
    </row>
    <row r="14" spans="1:256" ht="12" customHeight="1" x14ac:dyDescent="0.3">
      <c r="A14" s="360"/>
      <c r="B14" s="360"/>
      <c r="C14" s="360"/>
      <c r="D14" s="360"/>
      <c r="E14" s="360"/>
      <c r="F14" s="360"/>
      <c r="G14" s="360"/>
      <c r="H14" s="360"/>
      <c r="I14" s="360"/>
      <c r="J14" s="360"/>
      <c r="K14" s="360"/>
      <c r="L14" s="360"/>
    </row>
    <row r="15" spans="1:256" ht="25.35" customHeight="1" x14ac:dyDescent="0.3">
      <c r="A15" s="285" t="s">
        <v>409</v>
      </c>
      <c r="B15" s="286"/>
      <c r="C15" s="357" t="s">
        <v>766</v>
      </c>
      <c r="D15" s="357"/>
      <c r="E15" s="357"/>
      <c r="F15"/>
      <c r="G15"/>
      <c r="H15" s="381" t="s">
        <v>14</v>
      </c>
      <c r="I15" s="381"/>
      <c r="J15" s="357"/>
      <c r="K15" s="357"/>
      <c r="L15" s="357"/>
    </row>
    <row r="16" spans="1:256" ht="12" customHeight="1" x14ac:dyDescent="0.3">
      <c r="A16" s="287"/>
      <c r="B16" s="287"/>
      <c r="C16"/>
      <c r="D16"/>
      <c r="E16"/>
      <c r="F16"/>
      <c r="G16"/>
      <c r="H16"/>
      <c r="I16"/>
      <c r="J16"/>
      <c r="K16"/>
      <c r="L16"/>
    </row>
    <row r="17" spans="1:12" ht="12" customHeight="1" x14ac:dyDescent="0.3">
      <c r="A17" s="286"/>
      <c r="B17" s="286"/>
    </row>
    <row r="18" spans="1:12" ht="44.1" customHeight="1" x14ac:dyDescent="0.3">
      <c r="A18" s="370" t="s">
        <v>1086</v>
      </c>
      <c r="B18" s="370"/>
      <c r="C18" s="357" t="s">
        <v>766</v>
      </c>
      <c r="D18" s="357"/>
      <c r="E18" s="357"/>
      <c r="F18"/>
      <c r="H18" s="372" t="s">
        <v>882</v>
      </c>
      <c r="I18" s="372"/>
      <c r="J18" s="357" t="s">
        <v>766</v>
      </c>
      <c r="K18" s="357"/>
      <c r="L18" s="357"/>
    </row>
    <row r="19" spans="1:12" ht="25.35" customHeight="1" x14ac:dyDescent="0.3">
      <c r="A19" s="382" t="s">
        <v>1087</v>
      </c>
      <c r="B19" s="382"/>
      <c r="C19" s="346" t="s">
        <v>1088</v>
      </c>
      <c r="D19"/>
      <c r="E19"/>
      <c r="F19"/>
    </row>
    <row r="20" spans="1:12" ht="19.5" thickBot="1" x14ac:dyDescent="0.35">
      <c r="A20" s="378" t="s">
        <v>15</v>
      </c>
      <c r="B20" s="378"/>
      <c r="C20" s="378"/>
      <c r="D20" s="378"/>
      <c r="E20" s="378"/>
      <c r="F20" s="378"/>
      <c r="G20" s="378"/>
      <c r="H20" s="378"/>
      <c r="I20" s="378"/>
      <c r="J20" s="378"/>
      <c r="K20" s="378"/>
      <c r="L20" s="378"/>
    </row>
    <row r="21" spans="1:12" ht="23.25" customHeight="1" x14ac:dyDescent="0.3">
      <c r="A21" s="361" t="s">
        <v>16</v>
      </c>
      <c r="B21" s="361"/>
      <c r="C21" s="358"/>
      <c r="D21" s="358"/>
      <c r="E21" s="358"/>
      <c r="F21" s="358"/>
      <c r="G21" s="95"/>
      <c r="H21" s="95"/>
      <c r="I21" s="380"/>
      <c r="J21" s="380"/>
      <c r="K21" s="380"/>
      <c r="L21" s="251"/>
    </row>
    <row r="22" spans="1:12" ht="23.25" customHeight="1" x14ac:dyDescent="0.3">
      <c r="A22" s="361" t="s">
        <v>17</v>
      </c>
      <c r="B22" s="361"/>
      <c r="C22" s="363"/>
      <c r="D22" s="363"/>
      <c r="E22" s="363"/>
      <c r="F22" s="363"/>
      <c r="H22" s="96" t="s">
        <v>5</v>
      </c>
      <c r="I22" s="358"/>
      <c r="J22" s="358"/>
      <c r="K22" s="93" t="s">
        <v>6</v>
      </c>
      <c r="L22" s="28"/>
    </row>
    <row r="23" spans="1:12" ht="23.25" customHeight="1" x14ac:dyDescent="0.3">
      <c r="A23" s="361" t="s">
        <v>7</v>
      </c>
      <c r="B23" s="361"/>
      <c r="C23" s="363"/>
      <c r="D23" s="363"/>
      <c r="E23" s="363"/>
      <c r="F23" s="363"/>
      <c r="H23" s="97" t="s">
        <v>8</v>
      </c>
      <c r="I23" s="379"/>
      <c r="J23" s="379"/>
      <c r="K23" s="379"/>
      <c r="L23" s="379"/>
    </row>
    <row r="24" spans="1:12" ht="23.25" customHeight="1" x14ac:dyDescent="0.3">
      <c r="A24" s="361" t="s">
        <v>3</v>
      </c>
      <c r="B24" s="361"/>
      <c r="C24" s="363"/>
      <c r="D24" s="363"/>
      <c r="E24" s="363"/>
      <c r="F24" s="363"/>
      <c r="H24" s="96" t="s">
        <v>9</v>
      </c>
      <c r="I24" s="364"/>
      <c r="J24" s="364"/>
      <c r="K24" s="364"/>
      <c r="L24" s="364"/>
    </row>
    <row r="25" spans="1:12" ht="23.25" customHeight="1" x14ac:dyDescent="0.3">
      <c r="A25" s="361" t="s">
        <v>11</v>
      </c>
      <c r="B25" s="361"/>
      <c r="C25" s="369"/>
      <c r="D25" s="369"/>
      <c r="E25" s="369"/>
      <c r="F25" s="369"/>
      <c r="H25" s="96" t="s">
        <v>10</v>
      </c>
      <c r="I25" s="364"/>
      <c r="J25" s="364"/>
      <c r="K25" s="364"/>
      <c r="L25" s="364"/>
    </row>
    <row r="26" spans="1:12" ht="7.5" customHeight="1" x14ac:dyDescent="0.3"/>
    <row r="27" spans="1:12" ht="19.5" thickBot="1" x14ac:dyDescent="0.35">
      <c r="A27" s="376" t="s">
        <v>18</v>
      </c>
      <c r="B27" s="376"/>
      <c r="C27" s="376"/>
      <c r="D27" s="376"/>
      <c r="E27" s="376"/>
      <c r="F27" s="376"/>
      <c r="G27" s="376"/>
      <c r="H27" s="376"/>
      <c r="I27" s="376"/>
      <c r="J27" s="376"/>
      <c r="K27" s="376"/>
      <c r="L27" s="376"/>
    </row>
    <row r="28" spans="1:12" ht="23.1" customHeight="1" x14ac:dyDescent="0.3">
      <c r="A28" s="361" t="s">
        <v>312</v>
      </c>
      <c r="B28" s="361"/>
      <c r="C28" s="361"/>
      <c r="D28" s="361"/>
      <c r="E28" s="361"/>
      <c r="F28" s="361"/>
      <c r="G28" s="377">
        <f>Worksheet!M47</f>
        <v>0</v>
      </c>
      <c r="H28" s="377"/>
      <c r="I28" s="377"/>
      <c r="J28" s="377"/>
      <c r="K28" s="377"/>
      <c r="L28" s="377"/>
    </row>
    <row r="29" spans="1:12" ht="39" customHeight="1" x14ac:dyDescent="0.3">
      <c r="A29" s="375" t="s">
        <v>572</v>
      </c>
      <c r="B29" s="375"/>
      <c r="C29" s="375"/>
      <c r="D29" s="375"/>
      <c r="E29" s="375"/>
      <c r="F29" s="375"/>
      <c r="G29" s="375"/>
      <c r="H29" s="375"/>
      <c r="I29" s="375"/>
      <c r="J29" s="375"/>
      <c r="K29" s="375"/>
      <c r="L29" s="375"/>
    </row>
    <row r="30" spans="1:12" ht="3" customHeight="1" x14ac:dyDescent="0.3">
      <c r="A30" s="98"/>
      <c r="B30" s="98"/>
      <c r="C30" s="98"/>
      <c r="D30" s="98"/>
      <c r="E30" s="98"/>
      <c r="F30" s="98"/>
      <c r="G30" s="99"/>
      <c r="H30" s="99"/>
      <c r="I30" s="99"/>
      <c r="J30" s="99"/>
      <c r="K30" s="99"/>
      <c r="L30" s="99"/>
    </row>
    <row r="31" spans="1:12" ht="153" customHeight="1" x14ac:dyDescent="0.3">
      <c r="A31" s="373" t="s">
        <v>233</v>
      </c>
      <c r="B31" s="374"/>
      <c r="C31" s="374"/>
      <c r="D31" s="374"/>
      <c r="E31" s="374"/>
      <c r="F31" s="374"/>
      <c r="G31" s="374"/>
      <c r="H31" s="374"/>
      <c r="I31" s="374"/>
      <c r="J31" s="374"/>
      <c r="K31" s="374"/>
      <c r="L31" s="374"/>
    </row>
    <row r="32" spans="1:12" ht="30" customHeight="1" x14ac:dyDescent="0.3">
      <c r="A32" s="359" t="s">
        <v>31</v>
      </c>
      <c r="B32" s="360"/>
      <c r="C32" s="358"/>
      <c r="D32" s="358"/>
      <c r="E32" s="358"/>
      <c r="F32" s="358"/>
      <c r="G32" s="358"/>
      <c r="H32" s="358"/>
      <c r="I32" s="358"/>
    </row>
    <row r="33" spans="1:13" ht="5.85" customHeight="1" x14ac:dyDescent="0.3">
      <c r="A33" s="100"/>
      <c r="B33" s="98"/>
      <c r="C33" s="99"/>
      <c r="D33" s="99"/>
      <c r="E33" s="99"/>
      <c r="F33" s="99"/>
      <c r="G33" s="99"/>
      <c r="H33" s="99"/>
      <c r="I33" s="99"/>
    </row>
    <row r="34" spans="1:13" ht="34.5" customHeight="1" x14ac:dyDescent="0.3">
      <c r="A34" s="359" t="s">
        <v>227</v>
      </c>
      <c r="B34" s="360"/>
      <c r="C34" s="362"/>
      <c r="D34" s="362"/>
      <c r="E34" s="362"/>
      <c r="F34" s="362"/>
      <c r="G34" s="362"/>
      <c r="H34" s="362"/>
      <c r="I34" s="362"/>
      <c r="J34" s="97" t="s">
        <v>19</v>
      </c>
      <c r="K34" s="353"/>
      <c r="L34" s="354"/>
      <c r="M34" s="94"/>
    </row>
    <row r="35" spans="1:13" ht="15" customHeight="1" x14ac:dyDescent="0.3">
      <c r="A35" s="100"/>
      <c r="B35" s="100"/>
      <c r="J35" s="97"/>
      <c r="K35" s="101"/>
      <c r="L35" s="101"/>
    </row>
    <row r="36" spans="1:13" ht="16.350000000000001" customHeight="1" x14ac:dyDescent="0.3">
      <c r="A36" s="102"/>
      <c r="B36" s="103"/>
      <c r="C36" s="103"/>
      <c r="D36" s="104"/>
      <c r="E36" s="104"/>
      <c r="F36" s="104"/>
      <c r="I36" s="103"/>
      <c r="J36" s="105"/>
      <c r="K36" s="104"/>
      <c r="L36" s="102"/>
    </row>
    <row r="37" spans="1:13" ht="16.350000000000001" customHeight="1" x14ac:dyDescent="0.3"/>
    <row r="38" spans="1:13" s="106" customFormat="1" ht="16.350000000000001" customHeight="1" x14ac:dyDescent="0.2"/>
    <row r="39" spans="1:13" x14ac:dyDescent="0.3"/>
    <row r="40" spans="1:13" x14ac:dyDescent="0.3">
      <c r="K40" s="107" t="s">
        <v>470</v>
      </c>
      <c r="L40" s="25"/>
    </row>
    <row r="45" spans="1:13" x14ac:dyDescent="0.3"/>
    <row r="46" spans="1:13" x14ac:dyDescent="0.3"/>
    <row r="47" spans="1:13" ht="16.350000000000001" customHeight="1" x14ac:dyDescent="0.3">
      <c r="A47" s="94"/>
      <c r="B47" s="94"/>
      <c r="C47" s="108"/>
      <c r="D47" s="109"/>
      <c r="E47" s="109"/>
      <c r="F47" s="109"/>
      <c r="G47" s="108"/>
      <c r="H47" s="108"/>
      <c r="I47" s="108"/>
      <c r="J47" s="109"/>
      <c r="K47" s="109"/>
      <c r="L47" s="110"/>
    </row>
    <row r="48" spans="1:13" x14ac:dyDescent="0.3">
      <c r="A48" s="111" t="s">
        <v>380</v>
      </c>
      <c r="B48" s="112" t="str">
        <f>Development!$B$5&amp;"_"&amp;Development!$B$3</f>
        <v>1.1.25_1.0</v>
      </c>
      <c r="C48" s="112"/>
      <c r="D48" s="112"/>
      <c r="E48" s="112"/>
      <c r="F48" s="112"/>
      <c r="G48" s="112"/>
      <c r="H48" s="106"/>
      <c r="I48" s="112"/>
      <c r="J48" s="112"/>
      <c r="K48" s="113" t="s">
        <v>381</v>
      </c>
      <c r="L48" s="114" t="str">
        <f>Development!$B$5</f>
        <v>1.1.25</v>
      </c>
    </row>
    <row r="49" s="91" customFormat="1" x14ac:dyDescent="0.3"/>
    <row r="50" s="91" customFormat="1" x14ac:dyDescent="0.3"/>
    <row r="51" s="91" customFormat="1" x14ac:dyDescent="0.3"/>
    <row r="52" x14ac:dyDescent="0.3"/>
    <row r="53" x14ac:dyDescent="0.3"/>
    <row r="54" x14ac:dyDescent="0.3"/>
    <row r="55" x14ac:dyDescent="0.3"/>
    <row r="63" x14ac:dyDescent="0.3"/>
    <row r="64" x14ac:dyDescent="0.3"/>
    <row r="65518" x14ac:dyDescent="0.3"/>
    <row r="65520" x14ac:dyDescent="0.3"/>
    <row r="65522" x14ac:dyDescent="0.3"/>
  </sheetData>
  <sheetProtection algorithmName="SHA-512" hashValue="fg1sMnw5vFuh9MFgJtiHZnSWu9hoJBM3ElUEgYjI5rvyJzxpZoyAaJ7hNWUPwdcc4xEvFNDSAL0i4PnIVNIfCg==" saltValue="iaxW7r8KNfqIJbD0NBb7vA==" spinCount="100000" sheet="1" objects="1" scenarios="1"/>
  <customSheetViews>
    <customSheetView guid="{413575D0-A88C-4EFD-A604-365F28B09173}" showGridLines="0" fitToPage="1" hiddenRows="1" hiddenColumns="1">
      <selection activeCell="C5" sqref="C5:F5"/>
      <pageMargins left="0" right="0" top="0.25" bottom="0.25" header="0.3" footer="0.3"/>
      <printOptions horizontalCentered="1"/>
      <pageSetup scale="78" orientation="portrait" r:id="rId1"/>
    </customSheetView>
  </customSheetViews>
  <mergeCells count="65">
    <mergeCell ref="I21:K21"/>
    <mergeCell ref="H15:I15"/>
    <mergeCell ref="H18:I18"/>
    <mergeCell ref="C18:E18"/>
    <mergeCell ref="A14:L14"/>
    <mergeCell ref="A18:B18"/>
    <mergeCell ref="A19:B19"/>
    <mergeCell ref="I11:J11"/>
    <mergeCell ref="K10:L10"/>
    <mergeCell ref="C10:F10"/>
    <mergeCell ref="C7:F7"/>
    <mergeCell ref="I8:J8"/>
    <mergeCell ref="K6:L6"/>
    <mergeCell ref="I7:J7"/>
    <mergeCell ref="C9:F9"/>
    <mergeCell ref="K9:L9"/>
    <mergeCell ref="C6:F6"/>
    <mergeCell ref="H13:I13"/>
    <mergeCell ref="A31:L31"/>
    <mergeCell ref="C24:F24"/>
    <mergeCell ref="A29:L29"/>
    <mergeCell ref="A27:L27"/>
    <mergeCell ref="G28:L28"/>
    <mergeCell ref="C25:F25"/>
    <mergeCell ref="C15:E15"/>
    <mergeCell ref="C13:E13"/>
    <mergeCell ref="A20:L20"/>
    <mergeCell ref="A23:B23"/>
    <mergeCell ref="C22:F22"/>
    <mergeCell ref="I23:L23"/>
    <mergeCell ref="I24:L24"/>
    <mergeCell ref="A22:B22"/>
    <mergeCell ref="A25:B25"/>
    <mergeCell ref="A3:L3"/>
    <mergeCell ref="A6:B6"/>
    <mergeCell ref="A7:B7"/>
    <mergeCell ref="K11:L11"/>
    <mergeCell ref="A4:L4"/>
    <mergeCell ref="A5:B5"/>
    <mergeCell ref="K5:L5"/>
    <mergeCell ref="C8:F8"/>
    <mergeCell ref="I9:J9"/>
    <mergeCell ref="C5:F5"/>
    <mergeCell ref="C11:F11"/>
    <mergeCell ref="A11:B11"/>
    <mergeCell ref="A8:B8"/>
    <mergeCell ref="A10:B10"/>
    <mergeCell ref="I10:J10"/>
    <mergeCell ref="A9:B9"/>
    <mergeCell ref="K34:L34"/>
    <mergeCell ref="J13:L13"/>
    <mergeCell ref="A13:B13"/>
    <mergeCell ref="J15:L15"/>
    <mergeCell ref="J18:L18"/>
    <mergeCell ref="I22:J22"/>
    <mergeCell ref="A34:B34"/>
    <mergeCell ref="A32:B32"/>
    <mergeCell ref="A21:B21"/>
    <mergeCell ref="C34:I34"/>
    <mergeCell ref="A24:B24"/>
    <mergeCell ref="C32:I32"/>
    <mergeCell ref="A28:F28"/>
    <mergeCell ref="C23:F23"/>
    <mergeCell ref="I25:L25"/>
    <mergeCell ref="C21:F21"/>
  </mergeCells>
  <dataValidations count="4">
    <dataValidation type="list" allowBlank="1" showInputMessage="1" showErrorMessage="1" sqref="J15:L15" xr:uid="{00000000-0002-0000-0300-000000000000}">
      <formula1>Building_Type</formula1>
    </dataValidation>
    <dataValidation type="list" allowBlank="1" showInputMessage="1" showErrorMessage="1" sqref="C15:E15" xr:uid="{00000000-0002-0000-0300-000001000000}">
      <formula1>Project_Type</formula1>
    </dataValidation>
    <dataValidation type="list" allowBlank="1" showInputMessage="1" showErrorMessage="1" sqref="C13:E13" xr:uid="{00000000-0002-0000-0300-000002000000}">
      <formula1>Org_Type</formula1>
    </dataValidation>
    <dataValidation type="list" allowBlank="1" showInputMessage="1" showErrorMessage="1" sqref="J18:L18" xr:uid="{00000000-0002-0000-0300-000003000000}">
      <formula1>Rebate_Payment</formula1>
    </dataValidation>
  </dataValidations>
  <hyperlinks>
    <hyperlink ref="C19" r:id="rId2" xr:uid="{B1F1B074-F526-4E5D-AC81-7144B4B404B0}"/>
  </hyperlinks>
  <printOptions horizontalCentered="1"/>
  <pageMargins left="0" right="0" top="0.25" bottom="0.25" header="0.3" footer="0.3"/>
  <pageSetup scale="66" orientation="portrait" r:id="rId3"/>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37819" r:id="rId6" name="Group Box 1275">
              <controlPr defaultSize="0" autoFill="0" autoPict="0">
                <anchor moveWithCells="1">
                  <from>
                    <xdr:col>1</xdr:col>
                    <xdr:colOff>8143875</xdr:colOff>
                    <xdr:row>13</xdr:row>
                    <xdr:rowOff>9525</xdr:rowOff>
                  </from>
                  <to>
                    <xdr:col>11</xdr:col>
                    <xdr:colOff>0</xdr:colOff>
                    <xdr:row>18</xdr:row>
                    <xdr:rowOff>190500</xdr:rowOff>
                  </to>
                </anchor>
              </controlPr>
            </control>
          </mc:Choice>
        </mc:AlternateContent>
        <mc:AlternateContent xmlns:mc="http://schemas.openxmlformats.org/markup-compatibility/2006">
          <mc:Choice Requires="x14">
            <control shapeId="237830" r:id="rId7" name="Group Box 1286">
              <controlPr defaultSize="0" autoFill="0" autoPict="0">
                <anchor moveWithCells="1">
                  <from>
                    <xdr:col>1</xdr:col>
                    <xdr:colOff>6572250</xdr:colOff>
                    <xdr:row>10</xdr:row>
                    <xdr:rowOff>3000375</xdr:rowOff>
                  </from>
                  <to>
                    <xdr:col>10</xdr:col>
                    <xdr:colOff>0</xdr:colOff>
                    <xdr:row>14</xdr:row>
                    <xdr:rowOff>104775</xdr:rowOff>
                  </to>
                </anchor>
              </controlPr>
            </control>
          </mc:Choice>
        </mc:AlternateContent>
        <mc:AlternateContent xmlns:mc="http://schemas.openxmlformats.org/markup-compatibility/2006">
          <mc:Choice Requires="x14">
            <control shapeId="238393" r:id="rId8" name="Group Box 1849">
              <controlPr defaultSize="0" autoFill="0" autoPict="0">
                <anchor moveWithCells="1">
                  <from>
                    <xdr:col>1</xdr:col>
                    <xdr:colOff>6867525</xdr:colOff>
                    <xdr:row>16</xdr:row>
                    <xdr:rowOff>3000375</xdr:rowOff>
                  </from>
                  <to>
                    <xdr:col>6</xdr:col>
                    <xdr:colOff>0</xdr:colOff>
                    <xdr:row>18</xdr:row>
                    <xdr:rowOff>9525</xdr:rowOff>
                  </to>
                </anchor>
              </controlPr>
            </control>
          </mc:Choice>
        </mc:AlternateContent>
        <mc:AlternateContent xmlns:mc="http://schemas.openxmlformats.org/markup-compatibility/2006">
          <mc:Choice Requires="x14">
            <control shapeId="366744" r:id="rId9" name="Group Box 2200">
              <controlPr defaultSize="0" autoFill="0" autoPict="0">
                <anchor moveWithCells="1">
                  <from>
                    <xdr:col>1</xdr:col>
                    <xdr:colOff>6867525</xdr:colOff>
                    <xdr:row>18</xdr:row>
                    <xdr:rowOff>3000375</xdr:rowOff>
                  </from>
                  <to>
                    <xdr:col>6</xdr:col>
                    <xdr:colOff>0</xdr:colOff>
                    <xdr:row>21</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8FFE699-463C-4BF6-A675-0DF5AF680E77}">
          <x14:formula1>
            <xm:f>References!$B$37:$B$39</xm:f>
          </x14:formula1>
          <xm:sqref>C18:E18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00B050"/>
    <pageSetUpPr fitToPage="1"/>
  </sheetPr>
  <dimension ref="A1:IV79"/>
  <sheetViews>
    <sheetView showGridLines="0" zoomScaleNormal="100" workbookViewId="0"/>
  </sheetViews>
  <sheetFormatPr defaultColWidth="0" defaultRowHeight="16.5" zeroHeight="1" x14ac:dyDescent="0.3"/>
  <cols>
    <col min="1" max="1" width="2" style="91" customWidth="1"/>
    <col min="2" max="6" width="13.5703125" style="91" customWidth="1"/>
    <col min="7" max="7" width="2.28515625" style="91" customWidth="1"/>
    <col min="8" max="12" width="13.5703125" style="91" customWidth="1"/>
    <col min="13" max="16384" width="8.7109375" style="91" hidden="1"/>
  </cols>
  <sheetData>
    <row r="1" spans="1:256" ht="60" customHeight="1" x14ac:dyDescent="0.3">
      <c r="A1" s="265" t="str">
        <f>Development!A1</f>
        <v>2025 Commercial Efficiency Program</v>
      </c>
      <c r="B1" s="266"/>
      <c r="C1" s="266"/>
      <c r="D1" s="266"/>
      <c r="E1" s="266"/>
      <c r="F1" s="266"/>
      <c r="G1" s="266"/>
      <c r="H1" s="268"/>
      <c r="I1" s="268"/>
      <c r="J1" s="268"/>
      <c r="K1" s="268"/>
      <c r="L1" s="268"/>
    </row>
    <row r="2" spans="1:256" ht="60" customHeight="1" thickBot="1" x14ac:dyDescent="0.35">
      <c r="A2" s="267" t="s">
        <v>141</v>
      </c>
      <c r="B2" s="266"/>
      <c r="C2" s="266"/>
      <c r="D2" s="266"/>
      <c r="E2" s="266"/>
      <c r="F2" s="266"/>
      <c r="G2" s="266"/>
      <c r="H2" s="268"/>
      <c r="I2" s="268"/>
      <c r="J2" s="268"/>
      <c r="K2" s="268"/>
      <c r="L2" s="268"/>
      <c r="M2" s="115"/>
      <c r="N2" s="115"/>
      <c r="O2" s="115"/>
      <c r="P2" s="115"/>
      <c r="Q2" s="115"/>
      <c r="R2" s="115"/>
      <c r="S2" s="115"/>
      <c r="T2" s="115"/>
      <c r="U2" s="115"/>
      <c r="V2" s="387"/>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7"/>
      <c r="AZ2" s="387"/>
      <c r="BA2" s="387"/>
      <c r="BB2" s="387"/>
      <c r="BC2" s="387"/>
      <c r="BD2" s="387"/>
      <c r="BE2" s="387"/>
      <c r="BF2" s="387"/>
      <c r="BG2" s="387"/>
      <c r="BH2" s="387"/>
      <c r="BI2" s="387"/>
      <c r="BJ2" s="387"/>
      <c r="BK2" s="387"/>
      <c r="BL2" s="387"/>
      <c r="BM2" s="387"/>
      <c r="BN2" s="387"/>
      <c r="BO2" s="387"/>
      <c r="BP2" s="387"/>
      <c r="BQ2" s="387"/>
      <c r="BR2" s="387"/>
      <c r="BS2" s="387"/>
      <c r="BT2" s="387"/>
      <c r="BU2" s="387"/>
      <c r="BV2" s="387"/>
      <c r="BW2" s="387"/>
      <c r="BX2" s="387"/>
      <c r="BY2" s="387"/>
      <c r="BZ2" s="387"/>
      <c r="CA2" s="387"/>
      <c r="CB2" s="387"/>
      <c r="CC2" s="387"/>
      <c r="CD2" s="387"/>
      <c r="CE2" s="387"/>
      <c r="CF2" s="387"/>
      <c r="CG2" s="387"/>
      <c r="CH2" s="387"/>
      <c r="CI2" s="387"/>
      <c r="CJ2" s="387"/>
      <c r="CK2" s="387"/>
      <c r="CL2" s="387"/>
      <c r="CM2" s="387"/>
      <c r="CN2" s="387"/>
      <c r="CO2" s="387"/>
      <c r="CP2" s="387"/>
      <c r="CQ2" s="387"/>
      <c r="CR2" s="387"/>
      <c r="CS2" s="387"/>
      <c r="CT2" s="387"/>
      <c r="CU2" s="387"/>
      <c r="CV2" s="387"/>
      <c r="CW2" s="387"/>
      <c r="CX2" s="387"/>
      <c r="CY2" s="387"/>
      <c r="CZ2" s="387"/>
      <c r="DA2" s="387"/>
      <c r="DB2" s="387"/>
      <c r="DC2" s="387"/>
      <c r="DD2" s="387"/>
      <c r="DE2" s="387"/>
      <c r="DF2" s="387"/>
      <c r="DG2" s="387"/>
      <c r="DH2" s="387"/>
      <c r="DI2" s="387"/>
      <c r="DJ2" s="387"/>
      <c r="DK2" s="387"/>
      <c r="DL2" s="387"/>
      <c r="DM2" s="387"/>
      <c r="DN2" s="387"/>
      <c r="DO2" s="387"/>
      <c r="DP2" s="387"/>
      <c r="DQ2" s="387"/>
      <c r="DR2" s="387"/>
      <c r="DS2" s="387"/>
      <c r="DT2" s="387"/>
      <c r="DU2" s="387"/>
      <c r="DV2" s="387"/>
      <c r="DW2" s="387"/>
      <c r="DX2" s="387"/>
      <c r="DY2" s="387"/>
      <c r="DZ2" s="387"/>
      <c r="EA2" s="387"/>
      <c r="EB2" s="387"/>
      <c r="EC2" s="387"/>
      <c r="ED2" s="387"/>
      <c r="EE2" s="387"/>
      <c r="EF2" s="387"/>
      <c r="EG2" s="387"/>
      <c r="EH2" s="387"/>
      <c r="EI2" s="387"/>
      <c r="EJ2" s="387"/>
      <c r="EK2" s="387"/>
      <c r="EL2" s="387"/>
      <c r="EM2" s="387"/>
      <c r="EN2" s="387"/>
      <c r="EO2" s="387"/>
      <c r="EP2" s="387"/>
      <c r="EQ2" s="387"/>
      <c r="ER2" s="387"/>
      <c r="ES2" s="387"/>
      <c r="ET2" s="387"/>
      <c r="EU2" s="387"/>
      <c r="EV2" s="387"/>
      <c r="EW2" s="387"/>
      <c r="EX2" s="387"/>
      <c r="EY2" s="387"/>
      <c r="EZ2" s="387"/>
      <c r="FA2" s="387"/>
      <c r="FB2" s="387"/>
      <c r="FC2" s="387"/>
      <c r="FD2" s="387"/>
      <c r="FE2" s="387"/>
      <c r="FF2" s="387"/>
      <c r="FG2" s="387"/>
      <c r="FH2" s="387"/>
      <c r="FI2" s="387"/>
      <c r="FJ2" s="387"/>
      <c r="FK2" s="387"/>
      <c r="FL2" s="387"/>
      <c r="FM2" s="387"/>
      <c r="FN2" s="387"/>
      <c r="FO2" s="387"/>
      <c r="FP2" s="387"/>
      <c r="FQ2" s="387"/>
      <c r="FR2" s="387"/>
      <c r="FS2" s="387"/>
      <c r="FT2" s="387"/>
      <c r="FU2" s="387"/>
      <c r="FV2" s="387"/>
      <c r="FW2" s="387"/>
      <c r="FX2" s="387"/>
      <c r="FY2" s="387"/>
      <c r="FZ2" s="387"/>
      <c r="GA2" s="387"/>
      <c r="GB2" s="387"/>
      <c r="GC2" s="387"/>
      <c r="GD2" s="387"/>
      <c r="GE2" s="387"/>
      <c r="GF2" s="387"/>
      <c r="GG2" s="387"/>
      <c r="GH2" s="387"/>
      <c r="GI2" s="387"/>
      <c r="GJ2" s="387"/>
      <c r="GK2" s="387"/>
      <c r="GL2" s="387"/>
      <c r="GM2" s="387"/>
      <c r="GN2" s="387"/>
      <c r="GO2" s="387"/>
      <c r="GP2" s="387"/>
      <c r="GQ2" s="387"/>
      <c r="GR2" s="387"/>
      <c r="GS2" s="387"/>
      <c r="GT2" s="387"/>
      <c r="GU2" s="387"/>
      <c r="GV2" s="387"/>
      <c r="GW2" s="387"/>
      <c r="GX2" s="387"/>
      <c r="GY2" s="387"/>
      <c r="GZ2" s="387"/>
      <c r="HA2" s="387"/>
      <c r="HB2" s="387"/>
      <c r="HC2" s="387"/>
      <c r="HD2" s="387"/>
      <c r="HE2" s="387"/>
      <c r="HF2" s="387"/>
      <c r="HG2" s="387"/>
      <c r="HH2" s="387"/>
      <c r="HI2" s="387"/>
      <c r="HJ2" s="387"/>
      <c r="HK2" s="387"/>
      <c r="HL2" s="387"/>
      <c r="HM2" s="387"/>
      <c r="HN2" s="387"/>
      <c r="HO2" s="387"/>
      <c r="HP2" s="387"/>
      <c r="HQ2" s="387"/>
      <c r="HR2" s="387"/>
      <c r="HS2" s="387"/>
      <c r="HT2" s="387"/>
      <c r="HU2" s="387"/>
      <c r="HV2" s="387"/>
      <c r="HW2" s="387"/>
      <c r="HX2" s="387"/>
      <c r="HY2" s="387"/>
      <c r="HZ2" s="387"/>
      <c r="IA2" s="387"/>
      <c r="IB2" s="387"/>
      <c r="IC2" s="387"/>
      <c r="ID2" s="387"/>
      <c r="IE2" s="387"/>
      <c r="IF2" s="387"/>
      <c r="IG2" s="387"/>
      <c r="IH2" s="387"/>
      <c r="II2" s="387"/>
      <c r="IJ2" s="387"/>
      <c r="IK2" s="387"/>
      <c r="IL2" s="387"/>
      <c r="IM2" s="387"/>
      <c r="IN2" s="387"/>
      <c r="IO2" s="387"/>
      <c r="IP2" s="387"/>
      <c r="IQ2" s="387"/>
      <c r="IR2" s="387"/>
      <c r="IS2" s="387"/>
      <c r="IT2" s="387"/>
      <c r="IU2" s="387"/>
      <c r="IV2" s="387"/>
    </row>
    <row r="3" spans="1:256" ht="12.75" customHeight="1" thickTop="1" x14ac:dyDescent="0.3">
      <c r="A3" s="229"/>
      <c r="B3" s="229"/>
      <c r="C3" s="229"/>
      <c r="D3" s="229"/>
      <c r="E3" s="229"/>
      <c r="F3" s="229"/>
      <c r="G3" s="229"/>
      <c r="H3" s="229"/>
      <c r="I3" s="229"/>
      <c r="J3" s="229"/>
      <c r="K3" s="229"/>
      <c r="L3" s="229"/>
    </row>
    <row r="4" spans="1:256" s="118" customFormat="1" ht="8.85" customHeight="1" x14ac:dyDescent="0.15">
      <c r="A4" s="116" t="s">
        <v>59</v>
      </c>
      <c r="B4" s="117"/>
      <c r="C4" s="117"/>
      <c r="D4" s="117"/>
      <c r="E4" s="117"/>
      <c r="F4" s="117"/>
      <c r="G4" s="117"/>
      <c r="H4" s="117"/>
      <c r="I4" s="117"/>
      <c r="J4" s="117"/>
      <c r="K4" s="117"/>
    </row>
    <row r="5" spans="1:256" s="120" customFormat="1" ht="23.85" customHeight="1" x14ac:dyDescent="0.15">
      <c r="A5" s="119" t="s">
        <v>55</v>
      </c>
      <c r="B5" s="386" t="s">
        <v>234</v>
      </c>
      <c r="C5" s="386"/>
      <c r="D5" s="386"/>
      <c r="E5" s="386"/>
      <c r="F5" s="386"/>
      <c r="G5" s="386"/>
      <c r="H5" s="386"/>
      <c r="I5" s="386"/>
      <c r="J5" s="386"/>
      <c r="K5" s="386"/>
      <c r="L5" s="386"/>
    </row>
    <row r="6" spans="1:256" s="120" customFormat="1" ht="24.6" customHeight="1" x14ac:dyDescent="0.15">
      <c r="A6" s="119" t="s">
        <v>56</v>
      </c>
      <c r="B6" s="386" t="s">
        <v>235</v>
      </c>
      <c r="C6" s="386"/>
      <c r="D6" s="386"/>
      <c r="E6" s="386"/>
      <c r="F6" s="386"/>
      <c r="G6" s="386"/>
      <c r="H6" s="386"/>
      <c r="I6" s="386"/>
      <c r="J6" s="386"/>
      <c r="K6" s="386"/>
      <c r="L6" s="386"/>
    </row>
    <row r="7" spans="1:256" s="120" customFormat="1" ht="9" x14ac:dyDescent="0.15">
      <c r="A7" s="121" t="s">
        <v>57</v>
      </c>
      <c r="B7" s="129" t="s">
        <v>58</v>
      </c>
      <c r="C7" s="129"/>
      <c r="D7" s="129"/>
      <c r="E7" s="129"/>
      <c r="F7" s="129"/>
      <c r="G7" s="129"/>
      <c r="H7" s="129"/>
      <c r="I7" s="129"/>
      <c r="J7" s="129"/>
      <c r="K7" s="129"/>
    </row>
    <row r="8" spans="1:256" s="118" customFormat="1" ht="9" x14ac:dyDescent="0.15">
      <c r="A8" s="116" t="s">
        <v>60</v>
      </c>
      <c r="B8" s="269"/>
      <c r="C8" s="269"/>
      <c r="D8" s="269"/>
      <c r="E8" s="269"/>
      <c r="F8" s="269"/>
      <c r="G8" s="269"/>
      <c r="H8" s="269"/>
      <c r="I8" s="269"/>
      <c r="J8" s="269"/>
      <c r="K8" s="269"/>
    </row>
    <row r="9" spans="1:256" s="120" customFormat="1" ht="9" customHeight="1" x14ac:dyDescent="0.15">
      <c r="A9" s="121" t="s">
        <v>55</v>
      </c>
      <c r="B9" s="386" t="s">
        <v>236</v>
      </c>
      <c r="C9" s="386"/>
      <c r="D9" s="386"/>
      <c r="E9" s="386"/>
      <c r="F9" s="386"/>
      <c r="G9" s="386"/>
      <c r="H9" s="386"/>
      <c r="I9" s="386"/>
      <c r="J9" s="386"/>
      <c r="K9" s="386"/>
      <c r="L9" s="386"/>
    </row>
    <row r="10" spans="1:256" s="120" customFormat="1" ht="22.35" customHeight="1" x14ac:dyDescent="0.15">
      <c r="A10" s="121" t="s">
        <v>56</v>
      </c>
      <c r="B10" s="386" t="s">
        <v>237</v>
      </c>
      <c r="C10" s="386"/>
      <c r="D10" s="386"/>
      <c r="E10" s="386"/>
      <c r="F10" s="386"/>
      <c r="G10" s="386"/>
      <c r="H10" s="386"/>
      <c r="I10" s="386"/>
      <c r="J10" s="386"/>
      <c r="K10" s="386"/>
      <c r="L10" s="386"/>
    </row>
    <row r="11" spans="1:256" s="118" customFormat="1" ht="9" x14ac:dyDescent="0.15">
      <c r="A11" s="116" t="s">
        <v>61</v>
      </c>
      <c r="B11" s="269"/>
      <c r="C11" s="269"/>
      <c r="D11" s="269"/>
      <c r="E11" s="269"/>
      <c r="F11" s="269"/>
      <c r="G11" s="269"/>
      <c r="H11" s="269"/>
      <c r="I11" s="269"/>
      <c r="J11" s="269"/>
      <c r="K11" s="269"/>
    </row>
    <row r="12" spans="1:256" s="120" customFormat="1" ht="22.35" customHeight="1" x14ac:dyDescent="0.15">
      <c r="A12" s="121" t="s">
        <v>55</v>
      </c>
      <c r="B12" s="386" t="s">
        <v>238</v>
      </c>
      <c r="C12" s="386"/>
      <c r="D12" s="386"/>
      <c r="E12" s="386"/>
      <c r="F12" s="386"/>
      <c r="G12" s="386"/>
      <c r="H12" s="386"/>
      <c r="I12" s="386"/>
      <c r="J12" s="386"/>
      <c r="K12" s="386"/>
      <c r="L12" s="386"/>
    </row>
    <row r="13" spans="1:256" s="120" customFormat="1" ht="9" x14ac:dyDescent="0.15">
      <c r="A13" s="121" t="s">
        <v>56</v>
      </c>
      <c r="B13" s="124" t="s">
        <v>239</v>
      </c>
      <c r="C13" s="124"/>
      <c r="D13" s="124"/>
      <c r="E13" s="124"/>
      <c r="F13" s="124"/>
      <c r="G13" s="124"/>
      <c r="H13" s="124"/>
      <c r="I13" s="124"/>
      <c r="J13" s="124"/>
      <c r="K13" s="124"/>
    </row>
    <row r="14" spans="1:256" s="118" customFormat="1" ht="8.85" customHeight="1" x14ac:dyDescent="0.15">
      <c r="A14" s="116" t="s">
        <v>62</v>
      </c>
      <c r="B14" s="269"/>
      <c r="C14" s="269"/>
      <c r="D14" s="269"/>
      <c r="E14" s="269"/>
      <c r="F14" s="269"/>
      <c r="G14" s="269"/>
      <c r="H14" s="269"/>
      <c r="I14" s="269"/>
      <c r="J14" s="269"/>
      <c r="K14" s="269"/>
    </row>
    <row r="15" spans="1:256" s="120" customFormat="1" ht="36.6" customHeight="1" x14ac:dyDescent="0.15">
      <c r="A15" s="122"/>
      <c r="B15" s="386" t="s">
        <v>240</v>
      </c>
      <c r="C15" s="386"/>
      <c r="D15" s="386"/>
      <c r="E15" s="386"/>
      <c r="F15" s="386"/>
      <c r="G15" s="386"/>
      <c r="H15" s="386"/>
      <c r="I15" s="386"/>
      <c r="J15" s="386"/>
      <c r="K15" s="386"/>
      <c r="L15" s="386"/>
    </row>
    <row r="16" spans="1:256" s="118" customFormat="1" ht="8.85" customHeight="1" x14ac:dyDescent="0.15">
      <c r="A16" s="116" t="s">
        <v>63</v>
      </c>
      <c r="B16" s="269"/>
      <c r="C16" s="269"/>
      <c r="D16" s="269"/>
      <c r="E16" s="269"/>
      <c r="F16" s="269"/>
      <c r="G16" s="269"/>
      <c r="H16" s="269"/>
      <c r="I16" s="269"/>
      <c r="J16" s="269"/>
      <c r="K16" s="269"/>
      <c r="M16" s="118" t="s">
        <v>41</v>
      </c>
    </row>
    <row r="17" spans="1:14" s="120" customFormat="1" ht="19.5" customHeight="1" x14ac:dyDescent="0.15">
      <c r="A17" s="121" t="s">
        <v>55</v>
      </c>
      <c r="B17" s="386" t="s">
        <v>241</v>
      </c>
      <c r="C17" s="386"/>
      <c r="D17" s="386"/>
      <c r="E17" s="386"/>
      <c r="F17" s="386"/>
      <c r="G17" s="386"/>
      <c r="H17" s="386"/>
      <c r="I17" s="386"/>
      <c r="J17" s="386"/>
      <c r="K17" s="386"/>
      <c r="L17" s="386"/>
    </row>
    <row r="18" spans="1:14" s="120" customFormat="1" ht="17.100000000000001" customHeight="1" x14ac:dyDescent="0.15">
      <c r="A18" s="121" t="s">
        <v>56</v>
      </c>
      <c r="B18" s="386" t="s">
        <v>242</v>
      </c>
      <c r="C18" s="386"/>
      <c r="D18" s="386"/>
      <c r="E18" s="386"/>
      <c r="F18" s="386"/>
      <c r="G18" s="386"/>
      <c r="H18" s="386"/>
      <c r="I18" s="386"/>
      <c r="J18" s="386"/>
      <c r="K18" s="386"/>
      <c r="L18" s="386"/>
    </row>
    <row r="19" spans="1:14" s="118" customFormat="1" ht="8.85" customHeight="1" x14ac:dyDescent="0.15">
      <c r="A19" s="116" t="s">
        <v>68</v>
      </c>
      <c r="B19" s="269"/>
      <c r="C19" s="269"/>
      <c r="D19" s="269"/>
      <c r="E19" s="269"/>
      <c r="F19" s="269"/>
      <c r="G19" s="269"/>
      <c r="H19" s="269"/>
      <c r="I19" s="269"/>
      <c r="J19" s="269"/>
      <c r="K19" s="269"/>
    </row>
    <row r="20" spans="1:14" s="120" customFormat="1" ht="22.35" customHeight="1" x14ac:dyDescent="0.15">
      <c r="A20" s="122"/>
      <c r="B20" s="386" t="s">
        <v>243</v>
      </c>
      <c r="C20" s="386"/>
      <c r="D20" s="386"/>
      <c r="E20" s="386"/>
      <c r="F20" s="386"/>
      <c r="G20" s="386"/>
      <c r="H20" s="386"/>
      <c r="I20" s="386"/>
      <c r="J20" s="386"/>
      <c r="K20" s="386"/>
      <c r="L20" s="386"/>
    </row>
    <row r="21" spans="1:14" s="118" customFormat="1" ht="9" x14ac:dyDescent="0.15">
      <c r="A21" s="116" t="s">
        <v>69</v>
      </c>
      <c r="B21" s="269"/>
      <c r="C21" s="269"/>
      <c r="D21" s="269"/>
      <c r="E21" s="269"/>
      <c r="F21" s="269"/>
      <c r="G21" s="269"/>
      <c r="H21" s="269"/>
      <c r="I21" s="269"/>
      <c r="J21" s="269"/>
      <c r="K21" s="269"/>
    </row>
    <row r="22" spans="1:14" s="120" customFormat="1" ht="9" x14ac:dyDescent="0.15">
      <c r="A22" s="121" t="s">
        <v>55</v>
      </c>
      <c r="B22" s="124" t="s">
        <v>244</v>
      </c>
      <c r="C22" s="124"/>
      <c r="D22" s="124"/>
      <c r="E22" s="124"/>
      <c r="F22" s="124"/>
      <c r="G22" s="124"/>
      <c r="H22" s="124"/>
      <c r="I22" s="124"/>
      <c r="J22" s="124"/>
      <c r="K22" s="124"/>
    </row>
    <row r="23" spans="1:14" s="120" customFormat="1" ht="9" customHeight="1" x14ac:dyDescent="0.15">
      <c r="A23" s="121" t="s">
        <v>56</v>
      </c>
      <c r="B23" s="386" t="s">
        <v>245</v>
      </c>
      <c r="C23" s="386"/>
      <c r="D23" s="386"/>
      <c r="E23" s="386"/>
      <c r="F23" s="386"/>
      <c r="G23" s="386"/>
      <c r="H23" s="386"/>
      <c r="I23" s="386"/>
      <c r="J23" s="386"/>
      <c r="K23" s="386"/>
      <c r="L23" s="386"/>
    </row>
    <row r="24" spans="1:14" s="120" customFormat="1" ht="9" customHeight="1" x14ac:dyDescent="0.15">
      <c r="A24" s="121" t="s">
        <v>57</v>
      </c>
      <c r="B24" s="386" t="s">
        <v>246</v>
      </c>
      <c r="C24" s="386"/>
      <c r="D24" s="386"/>
      <c r="E24" s="386"/>
      <c r="F24" s="386"/>
      <c r="G24" s="386"/>
      <c r="H24" s="386"/>
      <c r="I24" s="386"/>
      <c r="J24" s="386"/>
      <c r="K24" s="386"/>
      <c r="L24" s="386"/>
    </row>
    <row r="25" spans="1:14" s="120" customFormat="1" ht="20.100000000000001" customHeight="1" x14ac:dyDescent="0.15">
      <c r="A25" s="121" t="s">
        <v>64</v>
      </c>
      <c r="B25" s="386" t="s">
        <v>247</v>
      </c>
      <c r="C25" s="386"/>
      <c r="D25" s="386"/>
      <c r="E25" s="386"/>
      <c r="F25" s="386"/>
      <c r="G25" s="386"/>
      <c r="H25" s="386"/>
      <c r="I25" s="386"/>
      <c r="J25" s="386"/>
      <c r="K25" s="386"/>
      <c r="L25" s="386"/>
      <c r="N25" s="120" t="s">
        <v>41</v>
      </c>
    </row>
    <row r="26" spans="1:14" s="120" customFormat="1" ht="9" x14ac:dyDescent="0.15">
      <c r="A26" s="121" t="s">
        <v>65</v>
      </c>
      <c r="B26" s="124" t="s">
        <v>248</v>
      </c>
      <c r="C26" s="124"/>
      <c r="D26" s="124"/>
      <c r="E26" s="124"/>
      <c r="F26" s="124"/>
      <c r="G26" s="124"/>
      <c r="H26" s="124"/>
      <c r="I26" s="124"/>
      <c r="J26" s="124"/>
      <c r="K26" s="124"/>
    </row>
    <row r="27" spans="1:14" s="120" customFormat="1" ht="9" customHeight="1" x14ac:dyDescent="0.15">
      <c r="A27" s="121" t="s">
        <v>66</v>
      </c>
      <c r="B27" s="386" t="s">
        <v>249</v>
      </c>
      <c r="C27" s="386"/>
      <c r="D27" s="386"/>
      <c r="E27" s="386"/>
      <c r="F27" s="386"/>
      <c r="G27" s="386"/>
      <c r="H27" s="386"/>
      <c r="I27" s="386"/>
      <c r="J27" s="386"/>
      <c r="K27" s="386"/>
      <c r="L27" s="386"/>
    </row>
    <row r="28" spans="1:14" s="120" customFormat="1" ht="25.35" customHeight="1" x14ac:dyDescent="0.15">
      <c r="A28" s="121" t="s">
        <v>67</v>
      </c>
      <c r="B28" s="386" t="s">
        <v>250</v>
      </c>
      <c r="C28" s="386"/>
      <c r="D28" s="386"/>
      <c r="E28" s="386"/>
      <c r="F28" s="386"/>
      <c r="G28" s="386"/>
      <c r="H28" s="386"/>
      <c r="I28" s="386"/>
      <c r="J28" s="386"/>
      <c r="K28" s="386"/>
      <c r="L28" s="386"/>
    </row>
    <row r="29" spans="1:14" s="118" customFormat="1" ht="8.85" customHeight="1" x14ac:dyDescent="0.15">
      <c r="A29" s="116" t="s">
        <v>71</v>
      </c>
      <c r="B29" s="117"/>
      <c r="C29" s="117"/>
      <c r="D29" s="117"/>
      <c r="E29" s="117"/>
      <c r="F29" s="117"/>
      <c r="G29" s="117"/>
      <c r="H29" s="117"/>
      <c r="I29" s="117"/>
      <c r="J29" s="117"/>
      <c r="K29" s="117"/>
    </row>
    <row r="30" spans="1:14" s="120" customFormat="1" ht="36.75" customHeight="1" x14ac:dyDescent="0.15">
      <c r="A30" s="121" t="s">
        <v>55</v>
      </c>
      <c r="B30" s="383" t="s">
        <v>251</v>
      </c>
      <c r="C30" s="383"/>
      <c r="D30" s="383"/>
      <c r="E30" s="383"/>
      <c r="F30" s="383"/>
      <c r="G30" s="383"/>
      <c r="H30" s="383"/>
      <c r="I30" s="383"/>
      <c r="J30" s="383"/>
      <c r="K30" s="383"/>
      <c r="L30" s="383"/>
    </row>
    <row r="31" spans="1:14" s="120" customFormat="1" ht="18.600000000000001" customHeight="1" x14ac:dyDescent="0.15">
      <c r="A31" s="121" t="s">
        <v>56</v>
      </c>
      <c r="B31" s="383" t="s">
        <v>252</v>
      </c>
      <c r="C31" s="383"/>
      <c r="D31" s="383"/>
      <c r="E31" s="383"/>
      <c r="F31" s="383"/>
      <c r="G31" s="383"/>
      <c r="H31" s="383"/>
      <c r="I31" s="383"/>
      <c r="J31" s="383"/>
      <c r="K31" s="383"/>
      <c r="L31" s="383"/>
    </row>
    <row r="32" spans="1:14" s="120" customFormat="1" ht="9" x14ac:dyDescent="0.15">
      <c r="A32" s="121" t="s">
        <v>57</v>
      </c>
      <c r="B32" s="122" t="s">
        <v>70</v>
      </c>
      <c r="C32" s="122"/>
      <c r="D32" s="122"/>
      <c r="E32" s="122"/>
      <c r="F32" s="122"/>
      <c r="G32" s="122"/>
      <c r="H32" s="122"/>
      <c r="I32" s="122"/>
      <c r="J32" s="122"/>
      <c r="K32" s="122"/>
      <c r="L32" s="270"/>
    </row>
    <row r="33" spans="1:12" s="118" customFormat="1" ht="8.85" customHeight="1" x14ac:dyDescent="0.15">
      <c r="A33" s="116" t="s">
        <v>73</v>
      </c>
      <c r="B33" s="117"/>
      <c r="C33" s="117"/>
      <c r="D33" s="117"/>
      <c r="E33" s="117"/>
      <c r="F33" s="117"/>
      <c r="G33" s="117"/>
      <c r="H33" s="117"/>
      <c r="I33" s="117"/>
      <c r="J33" s="117"/>
      <c r="K33" s="117"/>
      <c r="L33" s="271"/>
    </row>
    <row r="34" spans="1:12" s="120" customFormat="1" ht="9" customHeight="1" x14ac:dyDescent="0.15">
      <c r="A34" s="122"/>
      <c r="B34" s="383" t="s">
        <v>253</v>
      </c>
      <c r="C34" s="383"/>
      <c r="D34" s="383"/>
      <c r="E34" s="383"/>
      <c r="F34" s="383"/>
      <c r="G34" s="383"/>
      <c r="H34" s="383"/>
      <c r="I34" s="383"/>
      <c r="J34" s="383"/>
      <c r="K34" s="383"/>
      <c r="L34" s="383"/>
    </row>
    <row r="35" spans="1:12" s="118" customFormat="1" ht="8.85" customHeight="1" x14ac:dyDescent="0.15">
      <c r="A35" s="116" t="s">
        <v>74</v>
      </c>
      <c r="B35" s="117"/>
      <c r="C35" s="117"/>
      <c r="D35" s="117"/>
      <c r="E35" s="117"/>
      <c r="F35" s="117"/>
      <c r="G35" s="117"/>
      <c r="H35" s="117"/>
      <c r="I35" s="117"/>
      <c r="J35" s="117"/>
      <c r="K35" s="117"/>
      <c r="L35" s="271"/>
    </row>
    <row r="36" spans="1:12" s="120" customFormat="1" ht="20.85" customHeight="1" x14ac:dyDescent="0.15">
      <c r="A36" s="122"/>
      <c r="B36" s="383" t="s">
        <v>254</v>
      </c>
      <c r="C36" s="383"/>
      <c r="D36" s="383"/>
      <c r="E36" s="383"/>
      <c r="F36" s="383"/>
      <c r="G36" s="383"/>
      <c r="H36" s="383"/>
      <c r="I36" s="383"/>
      <c r="J36" s="383"/>
      <c r="K36" s="383"/>
      <c r="L36" s="383"/>
    </row>
    <row r="37" spans="1:12" s="118" customFormat="1" ht="9" x14ac:dyDescent="0.15">
      <c r="A37" s="116" t="s">
        <v>75</v>
      </c>
      <c r="B37" s="117"/>
      <c r="C37" s="117"/>
      <c r="D37" s="117"/>
      <c r="E37" s="117"/>
      <c r="F37" s="117"/>
      <c r="G37" s="117"/>
      <c r="H37" s="117"/>
      <c r="I37" s="117"/>
      <c r="J37" s="117"/>
      <c r="K37" s="117"/>
      <c r="L37" s="271"/>
    </row>
    <row r="38" spans="1:12" s="120" customFormat="1" ht="25.35" customHeight="1" x14ac:dyDescent="0.15">
      <c r="A38" s="122"/>
      <c r="B38" s="383" t="s">
        <v>255</v>
      </c>
      <c r="C38" s="383"/>
      <c r="D38" s="383"/>
      <c r="E38" s="383"/>
      <c r="F38" s="383"/>
      <c r="G38" s="383"/>
      <c r="H38" s="383"/>
      <c r="I38" s="383"/>
      <c r="J38" s="383"/>
      <c r="K38" s="383"/>
      <c r="L38" s="383"/>
    </row>
    <row r="39" spans="1:12" s="118" customFormat="1" ht="9" x14ac:dyDescent="0.15">
      <c r="A39" s="116" t="s">
        <v>76</v>
      </c>
      <c r="B39" s="117"/>
      <c r="C39" s="117"/>
      <c r="D39" s="117"/>
      <c r="E39" s="117"/>
      <c r="F39" s="117"/>
      <c r="G39" s="117"/>
      <c r="H39" s="117"/>
      <c r="I39" s="117"/>
      <c r="J39" s="117"/>
      <c r="K39" s="117"/>
      <c r="L39" s="271"/>
    </row>
    <row r="40" spans="1:12" s="120" customFormat="1" ht="9" customHeight="1" x14ac:dyDescent="0.15">
      <c r="A40" s="122"/>
      <c r="B40" s="385" t="s">
        <v>72</v>
      </c>
      <c r="C40" s="385"/>
      <c r="D40" s="385"/>
      <c r="E40" s="385"/>
      <c r="F40" s="385"/>
      <c r="G40" s="385"/>
      <c r="H40" s="385"/>
      <c r="I40" s="385"/>
      <c r="J40" s="385"/>
      <c r="K40" s="385"/>
      <c r="L40" s="385"/>
    </row>
    <row r="41" spans="1:12" s="118" customFormat="1" ht="8.85" customHeight="1" x14ac:dyDescent="0.15">
      <c r="A41" s="116" t="s">
        <v>77</v>
      </c>
      <c r="B41" s="117"/>
      <c r="C41" s="117"/>
      <c r="D41" s="117"/>
      <c r="E41" s="117"/>
      <c r="F41" s="117"/>
      <c r="G41" s="117"/>
      <c r="H41" s="117"/>
      <c r="I41" s="117"/>
      <c r="J41" s="117"/>
      <c r="K41" s="117"/>
      <c r="L41" s="271"/>
    </row>
    <row r="42" spans="1:12" s="120" customFormat="1" ht="20.100000000000001" customHeight="1" x14ac:dyDescent="0.15">
      <c r="A42" s="121" t="s">
        <v>55</v>
      </c>
      <c r="B42" s="383" t="s">
        <v>256</v>
      </c>
      <c r="C42" s="383"/>
      <c r="D42" s="383"/>
      <c r="E42" s="383"/>
      <c r="F42" s="383"/>
      <c r="G42" s="383"/>
      <c r="H42" s="383"/>
      <c r="I42" s="383"/>
      <c r="J42" s="383"/>
      <c r="K42" s="383"/>
      <c r="L42" s="383"/>
    </row>
    <row r="43" spans="1:12" s="120" customFormat="1" ht="9" x14ac:dyDescent="0.15">
      <c r="A43" s="121" t="s">
        <v>56</v>
      </c>
      <c r="B43" s="123" t="s">
        <v>257</v>
      </c>
      <c r="C43" s="123"/>
      <c r="D43" s="123"/>
      <c r="E43" s="123"/>
      <c r="F43" s="123"/>
      <c r="G43" s="123"/>
      <c r="H43" s="123"/>
      <c r="I43" s="123"/>
      <c r="J43" s="123"/>
      <c r="K43" s="123"/>
      <c r="L43" s="270"/>
    </row>
    <row r="44" spans="1:12" s="118" customFormat="1" ht="8.85" customHeight="1" x14ac:dyDescent="0.15">
      <c r="A44" s="116" t="s">
        <v>78</v>
      </c>
      <c r="B44" s="117"/>
      <c r="C44" s="117"/>
      <c r="D44" s="117"/>
      <c r="E44" s="117"/>
      <c r="F44" s="117"/>
      <c r="G44" s="117"/>
      <c r="H44" s="117"/>
      <c r="I44" s="117"/>
      <c r="J44" s="117"/>
      <c r="K44" s="117"/>
      <c r="L44" s="271"/>
    </row>
    <row r="45" spans="1:12" s="120" customFormat="1" ht="9" x14ac:dyDescent="0.15">
      <c r="A45" s="122"/>
      <c r="B45" s="123" t="s">
        <v>258</v>
      </c>
      <c r="C45" s="123"/>
      <c r="D45" s="123"/>
      <c r="E45" s="123"/>
      <c r="F45" s="123"/>
      <c r="G45" s="123"/>
      <c r="H45" s="123"/>
      <c r="I45" s="123"/>
      <c r="J45" s="123"/>
      <c r="K45" s="123"/>
      <c r="L45" s="270"/>
    </row>
    <row r="46" spans="1:12" s="120" customFormat="1" ht="9" customHeight="1" x14ac:dyDescent="0.15">
      <c r="A46" s="122"/>
      <c r="B46" s="383" t="s">
        <v>259</v>
      </c>
      <c r="C46" s="383"/>
      <c r="D46" s="383"/>
      <c r="E46" s="383"/>
      <c r="F46" s="383"/>
      <c r="G46" s="383"/>
      <c r="H46" s="383"/>
      <c r="I46" s="383"/>
      <c r="J46" s="383"/>
      <c r="K46" s="383"/>
      <c r="L46" s="383"/>
    </row>
    <row r="47" spans="1:12" s="118" customFormat="1" ht="8.85" customHeight="1" x14ac:dyDescent="0.15">
      <c r="A47" s="116" t="s">
        <v>80</v>
      </c>
      <c r="B47" s="117"/>
      <c r="C47" s="117"/>
      <c r="D47" s="117"/>
      <c r="E47" s="117"/>
      <c r="F47" s="117"/>
      <c r="G47" s="117"/>
      <c r="H47" s="117"/>
      <c r="I47" s="117"/>
      <c r="J47" s="117"/>
      <c r="K47" s="117"/>
      <c r="L47" s="271"/>
    </row>
    <row r="48" spans="1:12" s="120" customFormat="1" ht="9" customHeight="1" x14ac:dyDescent="0.15">
      <c r="A48" s="121" t="s">
        <v>55</v>
      </c>
      <c r="B48" s="383" t="s">
        <v>260</v>
      </c>
      <c r="C48" s="383"/>
      <c r="D48" s="383"/>
      <c r="E48" s="383"/>
      <c r="F48" s="383"/>
      <c r="G48" s="383"/>
      <c r="H48" s="383"/>
      <c r="I48" s="383"/>
      <c r="J48" s="383"/>
      <c r="K48" s="383"/>
      <c r="L48" s="383"/>
    </row>
    <row r="49" spans="1:12" s="120" customFormat="1" ht="18" customHeight="1" x14ac:dyDescent="0.15">
      <c r="A49" s="121" t="s">
        <v>56</v>
      </c>
      <c r="B49" s="383" t="s">
        <v>261</v>
      </c>
      <c r="C49" s="383"/>
      <c r="D49" s="383"/>
      <c r="E49" s="383"/>
      <c r="F49" s="383"/>
      <c r="G49" s="383"/>
      <c r="H49" s="383"/>
      <c r="I49" s="383"/>
      <c r="J49" s="383"/>
      <c r="K49" s="383"/>
      <c r="L49" s="383"/>
    </row>
    <row r="50" spans="1:12" s="120" customFormat="1" ht="27" customHeight="1" x14ac:dyDescent="0.15">
      <c r="A50" s="121" t="s">
        <v>57</v>
      </c>
      <c r="B50" s="383" t="s">
        <v>262</v>
      </c>
      <c r="C50" s="383"/>
      <c r="D50" s="383"/>
      <c r="E50" s="383"/>
      <c r="F50" s="383"/>
      <c r="G50" s="383"/>
      <c r="H50" s="383"/>
      <c r="I50" s="383"/>
      <c r="J50" s="383"/>
      <c r="K50" s="383"/>
      <c r="L50" s="383"/>
    </row>
    <row r="51" spans="1:12" s="118" customFormat="1" ht="8.85" customHeight="1" x14ac:dyDescent="0.15">
      <c r="A51" s="116" t="s">
        <v>81</v>
      </c>
      <c r="B51" s="117"/>
      <c r="C51" s="117"/>
      <c r="D51" s="117"/>
      <c r="E51" s="117"/>
      <c r="F51" s="117"/>
      <c r="G51" s="117"/>
      <c r="H51" s="117"/>
      <c r="I51" s="117"/>
      <c r="J51" s="117"/>
      <c r="K51" s="117"/>
      <c r="L51" s="271"/>
    </row>
    <row r="52" spans="1:12" s="120" customFormat="1" ht="9" x14ac:dyDescent="0.15">
      <c r="A52" s="122"/>
      <c r="B52" s="122" t="s">
        <v>79</v>
      </c>
      <c r="C52" s="122"/>
      <c r="D52" s="122"/>
      <c r="E52" s="122"/>
      <c r="F52" s="122"/>
      <c r="G52" s="122"/>
      <c r="H52" s="122"/>
      <c r="I52" s="122"/>
      <c r="J52" s="122"/>
      <c r="K52" s="122"/>
      <c r="L52" s="270"/>
    </row>
    <row r="53" spans="1:12" s="118" customFormat="1" ht="8.85" customHeight="1" x14ac:dyDescent="0.15">
      <c r="A53" s="116" t="s">
        <v>82</v>
      </c>
      <c r="B53" s="117"/>
      <c r="C53" s="117"/>
      <c r="D53" s="117"/>
      <c r="E53" s="117"/>
      <c r="F53" s="117"/>
      <c r="G53" s="117"/>
      <c r="H53" s="117"/>
      <c r="I53" s="117"/>
      <c r="J53" s="117"/>
      <c r="K53" s="117"/>
      <c r="L53" s="271"/>
    </row>
    <row r="54" spans="1:12" s="120" customFormat="1" ht="9" customHeight="1" x14ac:dyDescent="0.15">
      <c r="A54" s="122"/>
      <c r="B54" s="383" t="s">
        <v>263</v>
      </c>
      <c r="C54" s="383"/>
      <c r="D54" s="383"/>
      <c r="E54" s="383"/>
      <c r="F54" s="383"/>
      <c r="G54" s="383"/>
      <c r="H54" s="383"/>
      <c r="I54" s="383"/>
      <c r="J54" s="383"/>
      <c r="K54" s="383"/>
      <c r="L54" s="383"/>
    </row>
    <row r="55" spans="1:12" s="118" customFormat="1" ht="8.85" customHeight="1" x14ac:dyDescent="0.15">
      <c r="A55" s="116" t="s">
        <v>83</v>
      </c>
      <c r="B55" s="117"/>
      <c r="C55" s="117"/>
      <c r="D55" s="117"/>
      <c r="E55" s="117"/>
      <c r="F55" s="117"/>
      <c r="G55" s="117"/>
      <c r="H55" s="117"/>
      <c r="I55" s="117"/>
      <c r="J55" s="117"/>
      <c r="K55" s="117"/>
      <c r="L55" s="271"/>
    </row>
    <row r="56" spans="1:12" s="120" customFormat="1" ht="23.85" customHeight="1" x14ac:dyDescent="0.15">
      <c r="A56" s="122"/>
      <c r="B56" s="383" t="s">
        <v>264</v>
      </c>
      <c r="C56" s="383"/>
      <c r="D56" s="383"/>
      <c r="E56" s="383"/>
      <c r="F56" s="383"/>
      <c r="G56" s="383"/>
      <c r="H56" s="383"/>
      <c r="I56" s="383"/>
      <c r="J56" s="383"/>
      <c r="K56" s="383"/>
      <c r="L56" s="383"/>
    </row>
    <row r="57" spans="1:12" s="92" customFormat="1" ht="8.85" customHeight="1" x14ac:dyDescent="0.3">
      <c r="A57" s="116" t="s">
        <v>84</v>
      </c>
      <c r="B57" s="117"/>
      <c r="C57" s="117"/>
      <c r="D57" s="117"/>
      <c r="E57" s="117"/>
      <c r="F57" s="117"/>
      <c r="G57" s="117"/>
      <c r="H57" s="117"/>
      <c r="I57" s="117"/>
      <c r="J57" s="117"/>
      <c r="K57" s="117"/>
      <c r="L57" s="272"/>
    </row>
    <row r="58" spans="1:12" ht="24" customHeight="1" x14ac:dyDescent="0.3">
      <c r="A58" s="122"/>
      <c r="B58" s="383" t="s">
        <v>265</v>
      </c>
      <c r="C58" s="383"/>
      <c r="D58" s="383"/>
      <c r="E58" s="383"/>
      <c r="F58" s="383"/>
      <c r="G58" s="383"/>
      <c r="H58" s="383"/>
      <c r="I58" s="383"/>
      <c r="J58" s="383"/>
      <c r="K58" s="383"/>
      <c r="L58" s="383"/>
    </row>
    <row r="59" spans="1:12" ht="23.85" customHeight="1" x14ac:dyDescent="0.3">
      <c r="A59" s="122"/>
      <c r="B59" s="383" t="s">
        <v>266</v>
      </c>
      <c r="C59" s="383"/>
      <c r="D59" s="383"/>
      <c r="E59" s="383"/>
      <c r="F59" s="383"/>
      <c r="G59" s="383"/>
      <c r="H59" s="383"/>
      <c r="I59" s="383"/>
      <c r="J59" s="383"/>
      <c r="K59" s="383"/>
      <c r="L59" s="383"/>
    </row>
    <row r="60" spans="1:12" s="92" customFormat="1" ht="8.85" customHeight="1" x14ac:dyDescent="0.3">
      <c r="A60" s="116" t="s">
        <v>85</v>
      </c>
      <c r="B60" s="117"/>
      <c r="C60" s="117"/>
      <c r="D60" s="117"/>
      <c r="E60" s="117"/>
      <c r="F60" s="117"/>
      <c r="G60" s="117"/>
      <c r="H60" s="117"/>
      <c r="I60" s="117"/>
      <c r="J60" s="117"/>
      <c r="K60" s="117"/>
      <c r="L60" s="272"/>
    </row>
    <row r="61" spans="1:12" ht="9" customHeight="1" x14ac:dyDescent="0.3">
      <c r="A61" s="121" t="s">
        <v>55</v>
      </c>
      <c r="B61" s="384" t="s">
        <v>267</v>
      </c>
      <c r="C61" s="384"/>
      <c r="D61" s="384"/>
      <c r="E61" s="384"/>
      <c r="F61" s="384"/>
      <c r="G61" s="384"/>
      <c r="H61" s="384"/>
      <c r="I61" s="384"/>
      <c r="J61" s="384"/>
      <c r="K61" s="384"/>
      <c r="L61" s="384"/>
    </row>
    <row r="62" spans="1:12" ht="29.25" customHeight="1" x14ac:dyDescent="0.3">
      <c r="A62" s="121" t="s">
        <v>56</v>
      </c>
      <c r="B62" s="383" t="s">
        <v>268</v>
      </c>
      <c r="C62" s="383"/>
      <c r="D62" s="383"/>
      <c r="E62" s="383"/>
      <c r="F62" s="383"/>
      <c r="G62" s="383"/>
      <c r="H62" s="383"/>
      <c r="I62" s="383"/>
      <c r="J62" s="383"/>
      <c r="K62" s="383"/>
      <c r="L62" s="383"/>
    </row>
    <row r="63" spans="1:12" s="92" customFormat="1" ht="8.85" customHeight="1" x14ac:dyDescent="0.3">
      <c r="A63" s="116" t="s">
        <v>90</v>
      </c>
      <c r="B63" s="117"/>
      <c r="C63" s="117"/>
      <c r="D63" s="117"/>
      <c r="E63" s="117"/>
      <c r="F63" s="117"/>
      <c r="G63" s="117"/>
      <c r="H63" s="117"/>
      <c r="I63" s="117"/>
      <c r="J63" s="117"/>
      <c r="K63" s="117"/>
      <c r="L63" s="272"/>
    </row>
    <row r="64" spans="1:12" s="120" customFormat="1" ht="8.85" customHeight="1" x14ac:dyDescent="0.15">
      <c r="A64" s="122"/>
      <c r="B64" s="385" t="s">
        <v>86</v>
      </c>
      <c r="C64" s="385"/>
      <c r="D64" s="385"/>
      <c r="E64" s="385"/>
      <c r="F64" s="385"/>
      <c r="G64" s="385"/>
      <c r="H64" s="385"/>
      <c r="I64" s="385"/>
      <c r="J64" s="385"/>
      <c r="K64" s="385"/>
      <c r="L64" s="385"/>
    </row>
    <row r="65" spans="1:12" s="92" customFormat="1" ht="8.85" customHeight="1" x14ac:dyDescent="0.3">
      <c r="A65" s="116" t="s">
        <v>89</v>
      </c>
      <c r="B65" s="117"/>
      <c r="C65" s="117"/>
      <c r="D65" s="117"/>
      <c r="E65" s="117"/>
      <c r="F65" s="117"/>
      <c r="G65" s="117"/>
      <c r="H65" s="117"/>
      <c r="I65" s="117"/>
      <c r="J65" s="117"/>
      <c r="K65" s="117"/>
      <c r="L65" s="272"/>
    </row>
    <row r="66" spans="1:12" s="120" customFormat="1" ht="23.85" customHeight="1" x14ac:dyDescent="0.15">
      <c r="A66" s="122"/>
      <c r="B66" s="383" t="s">
        <v>269</v>
      </c>
      <c r="C66" s="383"/>
      <c r="D66" s="383"/>
      <c r="E66" s="383"/>
      <c r="F66" s="383"/>
      <c r="G66" s="383"/>
      <c r="H66" s="383"/>
      <c r="I66" s="383"/>
      <c r="J66" s="383"/>
      <c r="K66" s="383"/>
      <c r="L66" s="383"/>
    </row>
    <row r="67" spans="1:12" s="92" customFormat="1" ht="8.85" customHeight="1" x14ac:dyDescent="0.3">
      <c r="A67" s="116" t="s">
        <v>88</v>
      </c>
      <c r="B67" s="117"/>
      <c r="C67" s="117"/>
      <c r="D67" s="117"/>
      <c r="E67" s="117"/>
      <c r="F67" s="117"/>
      <c r="G67" s="117"/>
      <c r="H67" s="117"/>
      <c r="I67" s="117"/>
      <c r="J67" s="117"/>
      <c r="K67" s="117"/>
      <c r="L67" s="272"/>
    </row>
    <row r="68" spans="1:12" x14ac:dyDescent="0.3">
      <c r="A68" s="122"/>
      <c r="B68" s="122" t="s">
        <v>87</v>
      </c>
      <c r="C68" s="122"/>
      <c r="D68" s="122"/>
      <c r="E68" s="122"/>
      <c r="F68" s="122"/>
      <c r="G68" s="122"/>
      <c r="H68" s="122"/>
      <c r="I68" s="122"/>
      <c r="J68" s="122"/>
      <c r="K68" s="122"/>
      <c r="L68" s="273"/>
    </row>
    <row r="69" spans="1:12" s="92" customFormat="1" ht="8.85" customHeight="1" x14ac:dyDescent="0.3">
      <c r="A69" s="116" t="s">
        <v>91</v>
      </c>
      <c r="B69" s="117"/>
      <c r="C69" s="117"/>
      <c r="D69" s="117"/>
      <c r="E69" s="117"/>
      <c r="F69" s="117"/>
      <c r="G69" s="117"/>
      <c r="H69" s="117"/>
      <c r="I69" s="117"/>
      <c r="J69" s="117"/>
      <c r="K69" s="117"/>
      <c r="L69" s="272"/>
    </row>
    <row r="70" spans="1:12" ht="24" customHeight="1" x14ac:dyDescent="0.3">
      <c r="A70" s="122"/>
      <c r="B70" s="383" t="s">
        <v>270</v>
      </c>
      <c r="C70" s="383"/>
      <c r="D70" s="383"/>
      <c r="E70" s="383"/>
      <c r="F70" s="383"/>
      <c r="G70" s="383"/>
      <c r="H70" s="383"/>
      <c r="I70" s="383"/>
      <c r="J70" s="383"/>
      <c r="K70" s="383"/>
      <c r="L70" s="383"/>
    </row>
    <row r="71" spans="1:12" s="92" customFormat="1" ht="9.6" customHeight="1" x14ac:dyDescent="0.3">
      <c r="A71" s="116" t="s">
        <v>93</v>
      </c>
      <c r="B71" s="117"/>
      <c r="C71" s="117"/>
      <c r="D71" s="117"/>
      <c r="E71" s="117"/>
      <c r="F71" s="117"/>
      <c r="G71" s="117"/>
      <c r="H71" s="117"/>
      <c r="I71" s="117"/>
      <c r="J71" s="117"/>
      <c r="K71" s="117"/>
      <c r="L71" s="272"/>
    </row>
    <row r="72" spans="1:12" ht="10.35" customHeight="1" x14ac:dyDescent="0.3">
      <c r="A72" s="121" t="s">
        <v>55</v>
      </c>
      <c r="B72" s="384" t="s">
        <v>657</v>
      </c>
      <c r="C72" s="384"/>
      <c r="D72" s="384"/>
      <c r="E72" s="384"/>
      <c r="F72" s="384"/>
      <c r="G72" s="384"/>
      <c r="H72" s="384"/>
      <c r="I72" s="384"/>
      <c r="J72" s="384"/>
      <c r="K72" s="384"/>
      <c r="L72" s="384"/>
    </row>
    <row r="73" spans="1:12" ht="10.35" customHeight="1" x14ac:dyDescent="0.3">
      <c r="A73" s="121" t="s">
        <v>56</v>
      </c>
      <c r="B73" s="384" t="s">
        <v>271</v>
      </c>
      <c r="C73" s="384"/>
      <c r="D73" s="384"/>
      <c r="E73" s="384"/>
      <c r="F73" s="384"/>
      <c r="G73" s="384"/>
      <c r="H73" s="384"/>
      <c r="I73" s="384"/>
      <c r="J73" s="384"/>
      <c r="K73" s="384"/>
      <c r="L73" s="384"/>
    </row>
    <row r="74" spans="1:12" ht="18" customHeight="1" x14ac:dyDescent="0.3">
      <c r="A74" s="121" t="s">
        <v>57</v>
      </c>
      <c r="B74" s="385" t="s">
        <v>92</v>
      </c>
      <c r="C74" s="385"/>
      <c r="D74" s="385"/>
      <c r="E74" s="385"/>
      <c r="F74" s="385"/>
      <c r="G74" s="385"/>
      <c r="H74" s="385"/>
      <c r="I74" s="385"/>
      <c r="J74" s="385"/>
      <c r="K74" s="385"/>
      <c r="L74" s="385"/>
    </row>
    <row r="75" spans="1:12" ht="18" customHeight="1" x14ac:dyDescent="0.3">
      <c r="A75" s="121" t="s">
        <v>64</v>
      </c>
      <c r="B75" s="123" t="s">
        <v>272</v>
      </c>
      <c r="C75" s="125"/>
      <c r="D75" s="125"/>
      <c r="E75" s="125"/>
      <c r="F75" s="125"/>
      <c r="G75" s="125"/>
      <c r="H75" s="125"/>
      <c r="I75" s="125"/>
      <c r="J75" s="125"/>
      <c r="K75" s="125"/>
      <c r="L75" s="273"/>
    </row>
    <row r="76" spans="1:12" ht="18" customHeight="1" x14ac:dyDescent="0.3"/>
    <row r="77" spans="1:12" ht="18" customHeight="1" x14ac:dyDescent="0.3">
      <c r="A77" s="121"/>
      <c r="B77" s="126" t="s">
        <v>427</v>
      </c>
      <c r="C77" s="125"/>
      <c r="D77" s="125"/>
      <c r="E77" s="125"/>
      <c r="F77" s="31"/>
      <c r="H77" s="127" t="s">
        <v>308</v>
      </c>
      <c r="I77" s="125"/>
      <c r="J77" s="125"/>
      <c r="K77" s="125"/>
    </row>
    <row r="78" spans="1:12" ht="18" customHeight="1" x14ac:dyDescent="0.3">
      <c r="A78" s="121"/>
      <c r="B78" s="94"/>
      <c r="C78" s="128"/>
      <c r="D78" s="128"/>
      <c r="E78" s="128"/>
      <c r="F78" s="128"/>
      <c r="G78" s="128"/>
      <c r="H78" s="128"/>
      <c r="I78" s="128"/>
      <c r="J78" s="128"/>
      <c r="K78" s="128"/>
    </row>
    <row r="79" spans="1:12" ht="16.5" customHeight="1" x14ac:dyDescent="0.3">
      <c r="B79" s="111" t="s">
        <v>380</v>
      </c>
      <c r="C79" s="112" t="str">
        <f>Development!$B$5&amp;"_"&amp;Development!$B$3</f>
        <v>1.1.25_1.0</v>
      </c>
      <c r="D79" s="129"/>
      <c r="E79" s="129"/>
      <c r="F79" s="129"/>
      <c r="G79" s="129"/>
      <c r="H79" s="129"/>
      <c r="I79" s="129"/>
      <c r="J79" s="113" t="s">
        <v>381</v>
      </c>
      <c r="K79" s="114" t="str">
        <f>Development!$B$5</f>
        <v>1.1.25</v>
      </c>
    </row>
  </sheetData>
  <sheetProtection password="A202" sheet="1"/>
  <customSheetViews>
    <customSheetView guid="{413575D0-A88C-4EFD-A604-365F28B09173}" showGridLines="0" fitToPage="1" hiddenRows="1" hiddenColumns="1">
      <selection sqref="A1:K1"/>
      <pageMargins left="0" right="0" top="0.25" bottom="0.25" header="0.3" footer="0.3"/>
      <pageSetup scale="74" orientation="portrait" r:id="rId1"/>
    </customSheetView>
  </customSheetViews>
  <mergeCells count="61">
    <mergeCell ref="IR2:IV2"/>
    <mergeCell ref="FZ2:GI2"/>
    <mergeCell ref="GJ2:GS2"/>
    <mergeCell ref="GT2:HC2"/>
    <mergeCell ref="HD2:HM2"/>
    <mergeCell ref="HN2:HW2"/>
    <mergeCell ref="HX2:IG2"/>
    <mergeCell ref="IH2:IQ2"/>
    <mergeCell ref="CX2:DG2"/>
    <mergeCell ref="DH2:DQ2"/>
    <mergeCell ref="DR2:EA2"/>
    <mergeCell ref="FF2:FO2"/>
    <mergeCell ref="FP2:FY2"/>
    <mergeCell ref="B50:L50"/>
    <mergeCell ref="B54:L54"/>
    <mergeCell ref="EB2:EK2"/>
    <mergeCell ref="EL2:EU2"/>
    <mergeCell ref="EV2:FE2"/>
    <mergeCell ref="V2:AE2"/>
    <mergeCell ref="AF2:AO2"/>
    <mergeCell ref="AP2:AY2"/>
    <mergeCell ref="AZ2:BI2"/>
    <mergeCell ref="CD2:CM2"/>
    <mergeCell ref="CN2:CW2"/>
    <mergeCell ref="BJ2:BS2"/>
    <mergeCell ref="BT2:CC2"/>
    <mergeCell ref="B25:L25"/>
    <mergeCell ref="B5:L5"/>
    <mergeCell ref="B6:L6"/>
    <mergeCell ref="B9:L9"/>
    <mergeCell ref="B10:L10"/>
    <mergeCell ref="B12:L12"/>
    <mergeCell ref="B15:L15"/>
    <mergeCell ref="B17:L17"/>
    <mergeCell ref="B18:L18"/>
    <mergeCell ref="B20:L20"/>
    <mergeCell ref="B23:L23"/>
    <mergeCell ref="B24:L24"/>
    <mergeCell ref="B49:L49"/>
    <mergeCell ref="B27:L27"/>
    <mergeCell ref="B28:L28"/>
    <mergeCell ref="B30:L30"/>
    <mergeCell ref="B31:L31"/>
    <mergeCell ref="B34:L34"/>
    <mergeCell ref="B36:L36"/>
    <mergeCell ref="B38:L38"/>
    <mergeCell ref="B40:L40"/>
    <mergeCell ref="B42:L42"/>
    <mergeCell ref="B46:L46"/>
    <mergeCell ref="B48:L48"/>
    <mergeCell ref="B70:L70"/>
    <mergeCell ref="B72:L72"/>
    <mergeCell ref="B73:L73"/>
    <mergeCell ref="B74:L74"/>
    <mergeCell ref="B56:L56"/>
    <mergeCell ref="B58:L58"/>
    <mergeCell ref="B59:L59"/>
    <mergeCell ref="B61:L61"/>
    <mergeCell ref="B62:L62"/>
    <mergeCell ref="B64:L64"/>
    <mergeCell ref="B66:L66"/>
  </mergeCells>
  <pageMargins left="0" right="0" top="0.25" bottom="0.25" header="0.3" footer="0.3"/>
  <pageSetup scale="62"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00B050"/>
    <pageSetUpPr fitToPage="1"/>
  </sheetPr>
  <dimension ref="A1:IV62"/>
  <sheetViews>
    <sheetView showGridLines="0" zoomScaleNormal="100" workbookViewId="0"/>
  </sheetViews>
  <sheetFormatPr defaultColWidth="0" defaultRowHeight="15" zeroHeight="1" x14ac:dyDescent="0.25"/>
  <cols>
    <col min="1" max="1" width="3.5703125" style="157" customWidth="1"/>
    <col min="2" max="2" width="14.42578125" style="130" customWidth="1"/>
    <col min="3" max="3" width="20.5703125" style="130" customWidth="1"/>
    <col min="4" max="12" width="14.42578125" style="130" customWidth="1"/>
    <col min="13" max="20" width="8.85546875" style="130" hidden="1" customWidth="1"/>
    <col min="21" max="21" width="19.42578125" style="130" hidden="1" customWidth="1"/>
    <col min="22" max="16384" width="0" style="130" hidden="1"/>
  </cols>
  <sheetData>
    <row r="1" spans="1:256" ht="60" customHeight="1" x14ac:dyDescent="0.5">
      <c r="A1" s="265" t="str">
        <f>Development!A1</f>
        <v>2025 Commercial Efficiency Program</v>
      </c>
      <c r="B1" s="266"/>
      <c r="C1" s="266"/>
      <c r="D1" s="266"/>
      <c r="E1" s="266"/>
      <c r="F1" s="266"/>
      <c r="G1" s="268"/>
      <c r="H1" s="268"/>
      <c r="I1" s="268"/>
      <c r="J1" s="268"/>
      <c r="K1" s="268"/>
      <c r="L1" s="268"/>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5"/>
      <c r="AU1" s="395"/>
      <c r="AV1" s="395"/>
      <c r="AW1" s="395"/>
      <c r="AX1" s="395"/>
      <c r="AY1" s="395"/>
      <c r="AZ1" s="395"/>
      <c r="BA1" s="395"/>
      <c r="BB1" s="395"/>
      <c r="BC1" s="395"/>
      <c r="BD1" s="395"/>
      <c r="BE1" s="395"/>
      <c r="BF1" s="395"/>
      <c r="BG1" s="395"/>
      <c r="BH1" s="395"/>
      <c r="BI1" s="395"/>
      <c r="BJ1" s="395"/>
      <c r="BK1" s="395"/>
      <c r="BL1" s="395"/>
      <c r="BM1" s="395"/>
      <c r="BN1" s="395"/>
      <c r="BO1" s="395"/>
      <c r="BP1" s="395"/>
      <c r="BQ1" s="395"/>
      <c r="BR1" s="395"/>
      <c r="BS1" s="395"/>
      <c r="BT1" s="395"/>
      <c r="BU1" s="395"/>
      <c r="BV1" s="395"/>
      <c r="BW1" s="395"/>
      <c r="BX1" s="395"/>
      <c r="BY1" s="395"/>
      <c r="BZ1" s="395"/>
      <c r="CA1" s="395"/>
      <c r="CB1" s="395"/>
      <c r="CC1" s="395"/>
      <c r="CD1" s="395"/>
      <c r="CE1" s="395"/>
      <c r="CF1" s="395"/>
      <c r="CG1" s="395"/>
      <c r="CH1" s="395"/>
      <c r="CI1" s="395"/>
      <c r="CJ1" s="395"/>
      <c r="CK1" s="395"/>
      <c r="CL1" s="395"/>
      <c r="CM1" s="395"/>
      <c r="CN1" s="395"/>
      <c r="CO1" s="395"/>
      <c r="CP1" s="395"/>
      <c r="CQ1" s="395"/>
      <c r="CR1" s="395"/>
      <c r="CS1" s="395"/>
      <c r="CT1" s="395"/>
      <c r="CU1" s="395"/>
      <c r="CV1" s="395"/>
      <c r="CW1" s="395"/>
      <c r="CX1" s="395"/>
      <c r="CY1" s="395"/>
      <c r="CZ1" s="395"/>
      <c r="DA1" s="395"/>
      <c r="DB1" s="395"/>
      <c r="DC1" s="395"/>
      <c r="DD1" s="395"/>
      <c r="DE1" s="395"/>
      <c r="DF1" s="395"/>
      <c r="DG1" s="395"/>
      <c r="DH1" s="395"/>
      <c r="DI1" s="395"/>
      <c r="DJ1" s="395"/>
      <c r="DK1" s="395"/>
      <c r="DL1" s="395"/>
      <c r="DM1" s="395"/>
      <c r="DN1" s="395"/>
      <c r="DO1" s="395"/>
      <c r="DP1" s="395"/>
      <c r="DQ1" s="395"/>
      <c r="DR1" s="395"/>
      <c r="DS1" s="395"/>
      <c r="DT1" s="395"/>
      <c r="DU1" s="395"/>
      <c r="DV1" s="395"/>
      <c r="DW1" s="395"/>
      <c r="DX1" s="395"/>
      <c r="DY1" s="395"/>
      <c r="DZ1" s="395"/>
      <c r="EA1" s="395"/>
      <c r="EB1" s="395"/>
      <c r="EC1" s="395"/>
      <c r="ED1" s="395"/>
      <c r="EE1" s="395"/>
      <c r="EF1" s="395"/>
      <c r="EG1" s="395"/>
      <c r="EH1" s="395"/>
      <c r="EI1" s="395"/>
      <c r="EJ1" s="395"/>
      <c r="EK1" s="395"/>
      <c r="EL1" s="395"/>
      <c r="EM1" s="395"/>
      <c r="EN1" s="395"/>
      <c r="EO1" s="395"/>
      <c r="EP1" s="395"/>
      <c r="EQ1" s="395"/>
      <c r="ER1" s="395"/>
      <c r="ES1" s="395"/>
      <c r="ET1" s="395"/>
      <c r="EU1" s="395"/>
      <c r="EV1" s="395"/>
      <c r="EW1" s="395"/>
      <c r="EX1" s="395"/>
      <c r="EY1" s="395"/>
      <c r="EZ1" s="395"/>
      <c r="FA1" s="395"/>
      <c r="FB1" s="395"/>
      <c r="FC1" s="395"/>
      <c r="FD1" s="395"/>
      <c r="FE1" s="395"/>
      <c r="FF1" s="395"/>
      <c r="FG1" s="395"/>
      <c r="FH1" s="395"/>
      <c r="FI1" s="395"/>
      <c r="FJ1" s="395"/>
      <c r="FK1" s="395"/>
      <c r="FL1" s="395"/>
      <c r="FM1" s="395"/>
      <c r="FN1" s="395"/>
      <c r="FO1" s="395"/>
      <c r="FP1" s="395"/>
      <c r="FQ1" s="395"/>
      <c r="FR1" s="395"/>
      <c r="FS1" s="395"/>
      <c r="FT1" s="395"/>
      <c r="FU1" s="395"/>
      <c r="FV1" s="395"/>
      <c r="FW1" s="395"/>
      <c r="FX1" s="395"/>
      <c r="FY1" s="395"/>
      <c r="FZ1" s="395"/>
      <c r="GA1" s="395"/>
      <c r="GB1" s="395"/>
      <c r="GC1" s="395"/>
      <c r="GD1" s="395"/>
      <c r="GE1" s="395"/>
      <c r="GF1" s="395"/>
      <c r="GG1" s="395"/>
      <c r="GH1" s="395"/>
      <c r="GI1" s="395"/>
      <c r="GJ1" s="395"/>
      <c r="GK1" s="395"/>
      <c r="GL1" s="395"/>
      <c r="GM1" s="395"/>
      <c r="GN1" s="395"/>
      <c r="GO1" s="395"/>
      <c r="GP1" s="395"/>
      <c r="GQ1" s="395"/>
      <c r="GR1" s="395"/>
      <c r="GS1" s="395"/>
      <c r="GT1" s="395"/>
      <c r="GU1" s="395"/>
      <c r="GV1" s="395"/>
      <c r="GW1" s="395"/>
      <c r="GX1" s="395"/>
      <c r="GY1" s="395"/>
      <c r="GZ1" s="395"/>
      <c r="HA1" s="395"/>
      <c r="HB1" s="395"/>
      <c r="HC1" s="395"/>
      <c r="HD1" s="395"/>
      <c r="HE1" s="395"/>
      <c r="HF1" s="395"/>
      <c r="HG1" s="395"/>
      <c r="HH1" s="395"/>
      <c r="HI1" s="395"/>
      <c r="HJ1" s="395"/>
      <c r="HK1" s="395"/>
      <c r="HL1" s="395"/>
      <c r="HM1" s="395"/>
      <c r="HN1" s="395"/>
      <c r="HO1" s="395"/>
      <c r="HP1" s="395"/>
      <c r="HQ1" s="395"/>
      <c r="HR1" s="395"/>
      <c r="HS1" s="395"/>
      <c r="HT1" s="395"/>
      <c r="HU1" s="395"/>
      <c r="HV1" s="395"/>
      <c r="HW1" s="395"/>
      <c r="HX1" s="395"/>
      <c r="HY1" s="395"/>
      <c r="HZ1" s="395"/>
      <c r="IA1" s="395"/>
      <c r="IB1" s="395"/>
      <c r="IC1" s="395"/>
      <c r="ID1" s="395"/>
      <c r="IE1" s="395"/>
      <c r="IF1" s="395"/>
      <c r="IG1" s="395"/>
      <c r="IH1" s="395"/>
      <c r="II1" s="395"/>
      <c r="IJ1" s="395"/>
      <c r="IK1" s="395"/>
      <c r="IL1" s="395"/>
      <c r="IM1" s="395"/>
      <c r="IN1" s="395"/>
      <c r="IO1" s="395"/>
      <c r="IP1" s="395"/>
      <c r="IQ1" s="395"/>
      <c r="IR1" s="395"/>
      <c r="IS1" s="395"/>
      <c r="IT1" s="395"/>
      <c r="IU1" s="395"/>
      <c r="IV1" s="395"/>
    </row>
    <row r="2" spans="1:256" ht="60" customHeight="1" thickBot="1" x14ac:dyDescent="0.3">
      <c r="A2" s="267" t="s">
        <v>421</v>
      </c>
      <c r="B2" s="267"/>
      <c r="C2" s="266"/>
      <c r="D2" s="266"/>
      <c r="E2" s="266"/>
      <c r="F2" s="266"/>
      <c r="G2" s="268"/>
      <c r="H2" s="268"/>
      <c r="I2" s="268"/>
      <c r="J2" s="268"/>
      <c r="K2" s="268"/>
      <c r="L2" s="268"/>
      <c r="M2" s="131"/>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BZ2" s="394"/>
      <c r="CA2" s="394"/>
      <c r="CB2" s="394"/>
      <c r="CC2" s="394"/>
      <c r="CD2" s="394"/>
      <c r="CE2" s="394"/>
      <c r="CF2" s="394"/>
      <c r="CG2" s="394"/>
      <c r="CH2" s="394"/>
      <c r="CI2" s="394"/>
      <c r="CJ2" s="394"/>
      <c r="CK2" s="394"/>
      <c r="CL2" s="394"/>
      <c r="CM2" s="394"/>
      <c r="CN2" s="394"/>
      <c r="CO2" s="394"/>
      <c r="CP2" s="394"/>
      <c r="CQ2" s="394"/>
      <c r="CR2" s="394"/>
      <c r="CS2" s="394"/>
      <c r="CT2" s="394"/>
      <c r="CU2" s="394"/>
      <c r="CV2" s="394"/>
      <c r="CW2" s="394"/>
      <c r="CX2" s="394"/>
      <c r="CY2" s="394"/>
      <c r="CZ2" s="394"/>
      <c r="DA2" s="394"/>
      <c r="DB2" s="394"/>
      <c r="DC2" s="394"/>
      <c r="DD2" s="394"/>
      <c r="DE2" s="394"/>
      <c r="DF2" s="394"/>
      <c r="DG2" s="394"/>
      <c r="DH2" s="394"/>
      <c r="DI2" s="394"/>
      <c r="DJ2" s="394"/>
      <c r="DK2" s="394"/>
      <c r="DL2" s="394"/>
      <c r="DM2" s="394"/>
      <c r="DN2" s="394"/>
      <c r="DO2" s="394"/>
      <c r="DP2" s="394"/>
      <c r="DQ2" s="394"/>
      <c r="DR2" s="394"/>
      <c r="DS2" s="394"/>
      <c r="DT2" s="394"/>
      <c r="DU2" s="394"/>
      <c r="DV2" s="394"/>
      <c r="DW2" s="394"/>
      <c r="DX2" s="394"/>
      <c r="DY2" s="394"/>
      <c r="DZ2" s="394"/>
      <c r="EA2" s="394"/>
      <c r="EB2" s="394"/>
      <c r="EC2" s="394"/>
      <c r="ED2" s="394"/>
      <c r="EE2" s="394"/>
      <c r="EF2" s="394"/>
      <c r="EG2" s="394"/>
      <c r="EH2" s="394"/>
      <c r="EI2" s="394"/>
      <c r="EJ2" s="394"/>
      <c r="EK2" s="394"/>
      <c r="EL2" s="394"/>
      <c r="EM2" s="394"/>
      <c r="EN2" s="394"/>
      <c r="EO2" s="394"/>
      <c r="EP2" s="394"/>
      <c r="EQ2" s="394"/>
      <c r="ER2" s="394"/>
      <c r="ES2" s="394"/>
      <c r="ET2" s="394"/>
      <c r="EU2" s="394"/>
      <c r="EV2" s="394"/>
      <c r="EW2" s="394"/>
      <c r="EX2" s="394"/>
      <c r="EY2" s="394"/>
      <c r="EZ2" s="394"/>
      <c r="FA2" s="394"/>
      <c r="FB2" s="394"/>
      <c r="FC2" s="394"/>
      <c r="FD2" s="394"/>
      <c r="FE2" s="394"/>
      <c r="FF2" s="394"/>
      <c r="FG2" s="394"/>
      <c r="FH2" s="394"/>
      <c r="FI2" s="394"/>
      <c r="FJ2" s="394"/>
      <c r="FK2" s="394"/>
      <c r="FL2" s="394"/>
      <c r="FM2" s="394"/>
      <c r="FN2" s="394"/>
      <c r="FO2" s="394"/>
      <c r="FP2" s="394"/>
      <c r="FQ2" s="394"/>
      <c r="FR2" s="394"/>
      <c r="FS2" s="394"/>
      <c r="FT2" s="394"/>
      <c r="FU2" s="394"/>
      <c r="FV2" s="394"/>
      <c r="FW2" s="394"/>
      <c r="FX2" s="394"/>
      <c r="FY2" s="394"/>
      <c r="FZ2" s="394"/>
      <c r="GA2" s="394"/>
      <c r="GB2" s="394"/>
      <c r="GC2" s="394"/>
      <c r="GD2" s="394"/>
      <c r="GE2" s="394"/>
      <c r="GF2" s="394"/>
      <c r="GG2" s="394"/>
      <c r="GH2" s="394"/>
      <c r="GI2" s="394"/>
      <c r="GJ2" s="394"/>
      <c r="GK2" s="394"/>
      <c r="GL2" s="394"/>
      <c r="GM2" s="394"/>
      <c r="GN2" s="394"/>
      <c r="GO2" s="394"/>
      <c r="GP2" s="394"/>
      <c r="GQ2" s="394"/>
      <c r="GR2" s="394"/>
      <c r="GS2" s="394"/>
      <c r="GT2" s="394"/>
      <c r="GU2" s="394"/>
      <c r="GV2" s="394"/>
      <c r="GW2" s="394"/>
      <c r="GX2" s="394"/>
      <c r="GY2" s="394"/>
      <c r="GZ2" s="394"/>
      <c r="HA2" s="394"/>
      <c r="HB2" s="394"/>
      <c r="HC2" s="394"/>
      <c r="HD2" s="394"/>
      <c r="HE2" s="394"/>
      <c r="HF2" s="394"/>
      <c r="HG2" s="394"/>
      <c r="HH2" s="394"/>
      <c r="HI2" s="394"/>
      <c r="HJ2" s="394"/>
      <c r="HK2" s="394"/>
      <c r="HL2" s="394"/>
      <c r="HM2" s="394"/>
      <c r="HN2" s="394"/>
      <c r="HO2" s="394"/>
      <c r="HP2" s="394"/>
      <c r="HQ2" s="394"/>
      <c r="HR2" s="394"/>
      <c r="HS2" s="394"/>
      <c r="HT2" s="394"/>
      <c r="HU2" s="394"/>
      <c r="HV2" s="394"/>
      <c r="HW2" s="394"/>
      <c r="HX2" s="394"/>
      <c r="HY2" s="394"/>
      <c r="HZ2" s="394"/>
      <c r="IA2" s="394"/>
      <c r="IB2" s="394"/>
      <c r="IC2" s="394"/>
      <c r="ID2" s="394"/>
      <c r="IE2" s="394"/>
      <c r="IF2" s="394"/>
      <c r="IG2" s="394"/>
      <c r="IH2" s="394"/>
      <c r="II2" s="394"/>
      <c r="IJ2" s="394"/>
      <c r="IK2" s="394"/>
      <c r="IL2" s="394"/>
      <c r="IM2" s="394"/>
      <c r="IN2" s="394"/>
      <c r="IO2" s="394"/>
      <c r="IP2" s="394"/>
      <c r="IQ2" s="394"/>
      <c r="IR2" s="394"/>
      <c r="IS2" s="394"/>
      <c r="IT2" s="394"/>
      <c r="IU2" s="394"/>
      <c r="IV2" s="394"/>
    </row>
    <row r="3" spans="1:256" ht="20.25" customHeight="1" thickTop="1" x14ac:dyDescent="0.3">
      <c r="A3" s="229"/>
      <c r="B3" s="229"/>
      <c r="C3" s="229"/>
      <c r="D3" s="229"/>
      <c r="E3" s="229"/>
      <c r="F3" s="229"/>
      <c r="G3" s="229"/>
      <c r="H3" s="229"/>
      <c r="I3" s="229"/>
      <c r="J3" s="229"/>
      <c r="K3" s="229"/>
      <c r="L3" s="229"/>
      <c r="M3" s="131"/>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row>
    <row r="4" spans="1:256" s="133" customFormat="1" ht="18.75" thickBot="1" x14ac:dyDescent="0.3">
      <c r="A4" s="393" t="s">
        <v>20</v>
      </c>
      <c r="B4" s="393"/>
      <c r="C4" s="393"/>
      <c r="D4" s="393"/>
      <c r="E4" s="393"/>
      <c r="F4" s="393"/>
      <c r="G4" s="393"/>
      <c r="H4" s="393"/>
      <c r="I4" s="393"/>
      <c r="J4" s="393"/>
      <c r="K4" s="393"/>
      <c r="L4" s="393"/>
    </row>
    <row r="5" spans="1:256" s="136" customFormat="1" ht="15.6" customHeight="1" x14ac:dyDescent="0.25">
      <c r="A5" s="134" t="s">
        <v>50</v>
      </c>
      <c r="B5" s="392" t="s">
        <v>926</v>
      </c>
      <c r="C5" s="392"/>
      <c r="D5" s="392"/>
      <c r="E5" s="392"/>
      <c r="F5" s="392"/>
      <c r="G5" s="392"/>
      <c r="H5" s="392"/>
      <c r="I5" s="392"/>
      <c r="J5" s="392"/>
      <c r="K5" s="392"/>
      <c r="L5" s="392"/>
      <c r="M5" s="135"/>
    </row>
    <row r="6" spans="1:256" s="136" customFormat="1" ht="16.5" customHeight="1" x14ac:dyDescent="0.25">
      <c r="A6" s="134"/>
      <c r="B6" s="299" t="s">
        <v>1011</v>
      </c>
      <c r="C6" s="135"/>
      <c r="D6" s="135"/>
      <c r="E6" s="135"/>
      <c r="F6" s="135"/>
      <c r="G6" s="135"/>
      <c r="H6" s="135"/>
      <c r="I6" s="135"/>
      <c r="J6" s="135"/>
      <c r="K6" s="135"/>
      <c r="L6" s="135"/>
      <c r="M6" s="135"/>
    </row>
    <row r="7" spans="1:256" s="136" customFormat="1" ht="16.5" customHeight="1" x14ac:dyDescent="0.25">
      <c r="A7" s="134" t="s">
        <v>50</v>
      </c>
      <c r="B7" s="392" t="s">
        <v>543</v>
      </c>
      <c r="C7" s="392"/>
      <c r="D7" s="392"/>
      <c r="E7" s="392"/>
      <c r="F7" s="392"/>
      <c r="G7" s="392"/>
      <c r="H7" s="392"/>
      <c r="I7" s="392"/>
      <c r="J7" s="392"/>
      <c r="K7" s="392"/>
      <c r="L7" s="392"/>
      <c r="M7" s="135"/>
    </row>
    <row r="8" spans="1:256" ht="16.5" customHeight="1" x14ac:dyDescent="0.25">
      <c r="A8" s="134" t="s">
        <v>50</v>
      </c>
      <c r="B8" s="392" t="s">
        <v>455</v>
      </c>
      <c r="C8" s="392"/>
      <c r="D8" s="392"/>
      <c r="E8" s="392"/>
      <c r="F8" s="392"/>
      <c r="G8" s="392"/>
      <c r="H8" s="392"/>
      <c r="I8" s="392"/>
      <c r="J8" s="392"/>
      <c r="K8" s="392"/>
      <c r="L8" s="392"/>
    </row>
    <row r="9" spans="1:256" s="139" customFormat="1" ht="16.5" customHeight="1" x14ac:dyDescent="0.25">
      <c r="A9" s="137" t="s">
        <v>50</v>
      </c>
      <c r="B9" s="389" t="s">
        <v>426</v>
      </c>
      <c r="C9" s="389"/>
      <c r="D9" s="389"/>
      <c r="E9" s="389"/>
      <c r="F9" s="389"/>
      <c r="G9" s="389"/>
      <c r="H9" s="389"/>
      <c r="I9" s="389"/>
      <c r="J9" s="389"/>
      <c r="K9" s="389"/>
      <c r="L9" s="389"/>
    </row>
    <row r="10" spans="1:256" s="139" customFormat="1" ht="16.5" customHeight="1" x14ac:dyDescent="0.25">
      <c r="A10" s="137" t="s">
        <v>50</v>
      </c>
      <c r="B10" s="389" t="s">
        <v>1043</v>
      </c>
      <c r="C10" s="389"/>
      <c r="D10" s="389"/>
      <c r="E10" s="389"/>
      <c r="F10" s="389"/>
      <c r="G10" s="389"/>
      <c r="H10" s="389"/>
      <c r="I10" s="389"/>
      <c r="J10" s="389"/>
      <c r="K10" s="389"/>
      <c r="L10" s="389"/>
    </row>
    <row r="11" spans="1:256" s="139" customFormat="1" ht="16.5" customHeight="1" x14ac:dyDescent="0.25">
      <c r="A11" s="137" t="s">
        <v>50</v>
      </c>
      <c r="B11" s="138" t="s">
        <v>1091</v>
      </c>
      <c r="C11" s="138"/>
      <c r="D11" s="138"/>
      <c r="E11" s="138"/>
      <c r="F11" s="138"/>
      <c r="G11" s="138"/>
      <c r="H11" s="138"/>
      <c r="I11" s="138"/>
      <c r="J11" s="138"/>
      <c r="K11" s="138"/>
      <c r="L11" s="138"/>
    </row>
    <row r="12" spans="1:256" ht="16.5" customHeight="1" x14ac:dyDescent="0.25">
      <c r="A12" s="134" t="s">
        <v>50</v>
      </c>
      <c r="B12" s="392" t="s">
        <v>456</v>
      </c>
      <c r="C12" s="392"/>
      <c r="D12" s="392"/>
      <c r="E12" s="392"/>
      <c r="F12" s="392"/>
      <c r="G12" s="392"/>
      <c r="H12" s="392"/>
      <c r="I12" s="392"/>
      <c r="J12" s="392"/>
      <c r="K12" s="392"/>
      <c r="L12" s="392"/>
    </row>
    <row r="13" spans="1:256" ht="16.5" customHeight="1" x14ac:dyDescent="0.25">
      <c r="A13" s="134" t="s">
        <v>50</v>
      </c>
      <c r="B13" s="391" t="s">
        <v>457</v>
      </c>
      <c r="C13" s="391"/>
      <c r="D13" s="391"/>
      <c r="E13" s="391"/>
      <c r="F13" s="391"/>
      <c r="G13" s="391"/>
      <c r="H13" s="391"/>
      <c r="I13" s="391"/>
      <c r="J13" s="391"/>
      <c r="K13" s="391"/>
      <c r="L13" s="391"/>
    </row>
    <row r="14" spans="1:256" ht="34.5" customHeight="1" x14ac:dyDescent="0.25">
      <c r="A14" s="134" t="s">
        <v>50</v>
      </c>
      <c r="B14" s="388" t="s">
        <v>544</v>
      </c>
      <c r="C14" s="388"/>
      <c r="D14" s="388"/>
      <c r="E14" s="388"/>
      <c r="F14" s="388"/>
      <c r="G14" s="388"/>
      <c r="H14" s="388"/>
      <c r="I14" s="388"/>
      <c r="J14" s="388"/>
      <c r="K14" s="388"/>
      <c r="L14" s="388"/>
    </row>
    <row r="15" spans="1:256" s="139" customFormat="1" ht="16.5" customHeight="1" x14ac:dyDescent="0.25">
      <c r="A15" s="137" t="s">
        <v>50</v>
      </c>
      <c r="B15" s="389" t="s">
        <v>573</v>
      </c>
      <c r="C15" s="389"/>
      <c r="D15" s="389"/>
      <c r="E15" s="389"/>
      <c r="F15" s="389"/>
      <c r="G15" s="389"/>
      <c r="H15" s="389"/>
      <c r="I15" s="389"/>
      <c r="J15" s="389"/>
      <c r="K15" s="389"/>
      <c r="L15" s="389"/>
    </row>
    <row r="16" spans="1:256" s="139" customFormat="1" ht="16.5" customHeight="1" x14ac:dyDescent="0.25">
      <c r="A16" s="137"/>
      <c r="B16" s="299" t="s">
        <v>1011</v>
      </c>
      <c r="C16" s="138"/>
      <c r="D16" s="138"/>
      <c r="E16" s="138"/>
      <c r="F16" s="138"/>
      <c r="G16" s="138"/>
      <c r="H16" s="138"/>
      <c r="I16" s="138"/>
      <c r="J16" s="138"/>
      <c r="K16" s="138"/>
      <c r="L16" s="138"/>
    </row>
    <row r="17" spans="1:12" s="140" customFormat="1" ht="16.5" customHeight="1" x14ac:dyDescent="0.25">
      <c r="A17" s="137" t="s">
        <v>50</v>
      </c>
      <c r="B17" s="138" t="s">
        <v>927</v>
      </c>
      <c r="C17" s="138"/>
      <c r="D17" s="138"/>
      <c r="E17" s="138"/>
      <c r="F17" s="138"/>
      <c r="G17" s="138"/>
      <c r="H17" s="138"/>
      <c r="I17" s="138"/>
      <c r="J17" s="138"/>
      <c r="K17" s="138"/>
      <c r="L17" s="138"/>
    </row>
    <row r="18" spans="1:12" s="142" customFormat="1" ht="35.25" customHeight="1" x14ac:dyDescent="0.25">
      <c r="A18" s="141" t="s">
        <v>50</v>
      </c>
      <c r="B18" s="388" t="s">
        <v>458</v>
      </c>
      <c r="C18" s="388"/>
      <c r="D18" s="388"/>
      <c r="E18" s="388"/>
      <c r="F18" s="388"/>
      <c r="G18" s="388"/>
      <c r="H18" s="388"/>
      <c r="I18" s="388"/>
      <c r="J18" s="388"/>
      <c r="K18" s="388"/>
      <c r="L18" s="388"/>
    </row>
    <row r="19" spans="1:12" s="142" customFormat="1" ht="16.5" customHeight="1" x14ac:dyDescent="0.25">
      <c r="A19" s="141" t="s">
        <v>50</v>
      </c>
      <c r="B19" s="388" t="s">
        <v>459</v>
      </c>
      <c r="C19" s="389"/>
      <c r="D19" s="389"/>
      <c r="E19" s="389"/>
      <c r="F19" s="389"/>
      <c r="G19" s="389"/>
      <c r="H19" s="389"/>
      <c r="I19" s="389"/>
      <c r="J19" s="389"/>
      <c r="K19" s="389"/>
      <c r="L19" s="389"/>
    </row>
    <row r="20" spans="1:12" s="136" customFormat="1" ht="16.5" customHeight="1" x14ac:dyDescent="0.25">
      <c r="A20" s="141" t="s">
        <v>50</v>
      </c>
      <c r="B20" s="388" t="s">
        <v>460</v>
      </c>
      <c r="C20" s="389"/>
      <c r="D20" s="389"/>
      <c r="E20" s="389"/>
      <c r="F20" s="389"/>
      <c r="G20" s="389"/>
      <c r="H20" s="389"/>
      <c r="I20" s="389"/>
      <c r="J20" s="389"/>
      <c r="K20" s="389"/>
      <c r="L20" s="389"/>
    </row>
    <row r="21" spans="1:12" ht="16.5" customHeight="1" x14ac:dyDescent="0.25">
      <c r="A21" s="134" t="s">
        <v>50</v>
      </c>
      <c r="B21" s="392" t="s">
        <v>461</v>
      </c>
      <c r="C21" s="392"/>
      <c r="D21" s="392"/>
      <c r="E21" s="392"/>
      <c r="F21" s="392"/>
      <c r="G21" s="392"/>
      <c r="H21" s="392"/>
      <c r="I21" s="392"/>
      <c r="J21" s="392"/>
      <c r="K21" s="392"/>
      <c r="L21" s="392"/>
    </row>
    <row r="22" spans="1:12" s="136" customFormat="1" ht="16.5" customHeight="1" x14ac:dyDescent="0.25">
      <c r="A22" s="134" t="s">
        <v>50</v>
      </c>
      <c r="B22" s="392" t="s">
        <v>462</v>
      </c>
      <c r="C22" s="392"/>
      <c r="D22" s="392"/>
      <c r="E22" s="392"/>
      <c r="F22" s="392"/>
      <c r="G22" s="392"/>
      <c r="H22" s="392"/>
      <c r="I22" s="392"/>
      <c r="J22" s="392"/>
      <c r="K22" s="392"/>
      <c r="L22" s="135"/>
    </row>
    <row r="23" spans="1:12" s="136" customFormat="1" ht="16.5" customHeight="1" x14ac:dyDescent="0.25">
      <c r="A23" s="134" t="s">
        <v>50</v>
      </c>
      <c r="B23" s="135" t="s">
        <v>1089</v>
      </c>
      <c r="C23" s="135"/>
      <c r="D23" s="135"/>
      <c r="E23" s="135"/>
      <c r="F23" s="135"/>
      <c r="G23" s="135"/>
      <c r="H23" s="135"/>
      <c r="I23" s="135"/>
      <c r="J23" s="135"/>
      <c r="K23" s="135"/>
      <c r="L23" s="135"/>
    </row>
    <row r="24" spans="1:12" s="143" customFormat="1" ht="16.5" customHeight="1" x14ac:dyDescent="0.25">
      <c r="A24" s="134" t="s">
        <v>50</v>
      </c>
      <c r="B24" s="388" t="s">
        <v>463</v>
      </c>
      <c r="C24" s="388"/>
      <c r="D24" s="388"/>
      <c r="E24" s="388"/>
      <c r="F24" s="388"/>
      <c r="G24" s="388"/>
      <c r="H24" s="388"/>
      <c r="I24" s="388"/>
      <c r="J24" s="388"/>
      <c r="K24" s="388"/>
      <c r="L24" s="388"/>
    </row>
    <row r="25" spans="1:12" s="143" customFormat="1" ht="29.85" customHeight="1" x14ac:dyDescent="0.25">
      <c r="A25" s="134" t="s">
        <v>50</v>
      </c>
      <c r="B25" s="388" t="s">
        <v>815</v>
      </c>
      <c r="C25" s="388"/>
      <c r="D25" s="388"/>
      <c r="E25" s="388"/>
      <c r="F25" s="388"/>
      <c r="G25" s="388"/>
      <c r="H25" s="388"/>
      <c r="I25" s="388"/>
      <c r="J25" s="231"/>
      <c r="K25" s="231"/>
      <c r="L25" s="231"/>
    </row>
    <row r="26" spans="1:12" ht="9" customHeight="1" x14ac:dyDescent="0.25">
      <c r="A26" s="136"/>
      <c r="B26" s="390"/>
      <c r="C26" s="390"/>
      <c r="D26" s="390"/>
      <c r="E26" s="390"/>
      <c r="F26" s="390"/>
      <c r="G26" s="390"/>
      <c r="H26" s="390"/>
      <c r="I26" s="390"/>
      <c r="J26" s="390"/>
      <c r="K26" s="390"/>
      <c r="L26" s="390"/>
    </row>
    <row r="27" spans="1:12" s="144" customFormat="1" ht="18.75" thickBot="1" x14ac:dyDescent="0.3">
      <c r="A27" s="393" t="s">
        <v>21</v>
      </c>
      <c r="B27" s="393"/>
      <c r="C27" s="393"/>
      <c r="D27" s="393"/>
      <c r="E27" s="393"/>
      <c r="F27" s="393"/>
      <c r="G27" s="393"/>
      <c r="H27" s="393"/>
      <c r="I27" s="393"/>
      <c r="J27" s="393"/>
      <c r="K27" s="393"/>
      <c r="L27" s="393"/>
    </row>
    <row r="28" spans="1:12" ht="16.5" customHeight="1" x14ac:dyDescent="0.25">
      <c r="A28" s="145" t="s">
        <v>50</v>
      </c>
      <c r="B28" s="142" t="s">
        <v>231</v>
      </c>
      <c r="C28" s="136"/>
      <c r="D28" s="136"/>
      <c r="E28" s="136"/>
      <c r="F28" s="136"/>
      <c r="G28" s="136"/>
      <c r="H28" s="136"/>
      <c r="I28" s="136"/>
      <c r="J28" s="136"/>
      <c r="K28" s="136"/>
      <c r="L28" s="136"/>
    </row>
    <row r="29" spans="1:12" ht="16.5" customHeight="1" x14ac:dyDescent="0.25">
      <c r="A29" s="145" t="s">
        <v>50</v>
      </c>
      <c r="B29" s="391" t="s">
        <v>94</v>
      </c>
      <c r="C29" s="391"/>
      <c r="D29" s="391"/>
      <c r="E29" s="391"/>
      <c r="F29" s="391"/>
      <c r="G29" s="391"/>
      <c r="H29" s="391"/>
      <c r="I29" s="391"/>
      <c r="J29" s="391"/>
      <c r="K29" s="391"/>
      <c r="L29" s="391"/>
    </row>
    <row r="30" spans="1:12" ht="16.5" customHeight="1" x14ac:dyDescent="0.25">
      <c r="A30" s="145" t="s">
        <v>50</v>
      </c>
      <c r="B30" s="392" t="s">
        <v>36</v>
      </c>
      <c r="C30" s="392"/>
      <c r="D30" s="392"/>
      <c r="E30" s="392"/>
      <c r="F30" s="392"/>
      <c r="G30" s="392"/>
      <c r="H30" s="392"/>
      <c r="I30" s="392"/>
      <c r="J30" s="392"/>
      <c r="K30" s="392"/>
      <c r="L30" s="392"/>
    </row>
    <row r="31" spans="1:12" ht="16.5" customHeight="1" x14ac:dyDescent="0.25">
      <c r="A31" s="145"/>
      <c r="B31" s="135"/>
      <c r="C31" s="135" t="s">
        <v>96</v>
      </c>
      <c r="D31" s="135"/>
      <c r="E31" s="135"/>
      <c r="F31" s="135"/>
      <c r="G31" s="135"/>
      <c r="H31" s="135"/>
      <c r="I31" s="135"/>
      <c r="J31" s="135"/>
      <c r="K31" s="135"/>
      <c r="L31" s="135"/>
    </row>
    <row r="32" spans="1:12" s="91" customFormat="1" ht="16.5" x14ac:dyDescent="0.3">
      <c r="A32" s="145"/>
      <c r="B32" s="145"/>
      <c r="D32" s="146" t="s">
        <v>226</v>
      </c>
      <c r="E32" s="134"/>
      <c r="F32" s="134"/>
      <c r="G32" s="134"/>
      <c r="H32" s="134"/>
      <c r="I32" s="134"/>
      <c r="J32" s="134"/>
      <c r="K32" s="134"/>
      <c r="L32" s="134"/>
    </row>
    <row r="33" spans="1:12" ht="16.5" x14ac:dyDescent="0.25">
      <c r="A33" s="145"/>
      <c r="B33" s="145"/>
      <c r="C33" s="147"/>
      <c r="D33" s="148" t="s">
        <v>102</v>
      </c>
      <c r="E33" s="148"/>
      <c r="F33" s="148"/>
      <c r="G33" s="148"/>
      <c r="H33" s="148"/>
      <c r="I33" s="148"/>
      <c r="J33" s="148"/>
      <c r="K33" s="148"/>
      <c r="L33" s="148"/>
    </row>
    <row r="34" spans="1:12" s="91" customFormat="1" ht="16.5" x14ac:dyDescent="0.3">
      <c r="A34" s="149"/>
      <c r="B34" s="136"/>
      <c r="D34" s="150" t="s">
        <v>574</v>
      </c>
      <c r="E34" s="151"/>
      <c r="F34" s="151"/>
      <c r="G34" s="151"/>
      <c r="H34" s="151"/>
      <c r="I34" s="151"/>
      <c r="J34" s="151"/>
      <c r="K34" s="151"/>
      <c r="L34" s="151"/>
    </row>
    <row r="35" spans="1:12" s="91" customFormat="1" ht="16.5" x14ac:dyDescent="0.3">
      <c r="A35" s="149"/>
      <c r="B35" s="221" t="s">
        <v>730</v>
      </c>
      <c r="D35" s="150"/>
      <c r="E35" s="151"/>
      <c r="F35" s="151"/>
      <c r="G35" s="151"/>
      <c r="H35" s="151"/>
      <c r="I35" s="151"/>
      <c r="J35" s="151"/>
      <c r="K35" s="151"/>
      <c r="L35" s="151"/>
    </row>
    <row r="36" spans="1:12" s="91" customFormat="1" ht="6.95" customHeight="1" x14ac:dyDescent="0.3">
      <c r="A36" s="149"/>
      <c r="B36" s="136"/>
      <c r="D36" s="150"/>
      <c r="E36" s="151"/>
      <c r="F36" s="151"/>
      <c r="G36" s="151"/>
      <c r="H36" s="151"/>
      <c r="I36" s="151"/>
      <c r="J36" s="151"/>
      <c r="K36" s="151"/>
      <c r="L36" s="151"/>
    </row>
    <row r="37" spans="1:12" s="91" customFormat="1" ht="14.45" customHeight="1" x14ac:dyDescent="0.3">
      <c r="A37" s="149"/>
      <c r="B37" s="136"/>
      <c r="C37" s="91" t="s">
        <v>891</v>
      </c>
      <c r="D37" s="244" t="s">
        <v>892</v>
      </c>
      <c r="E37" s="151"/>
      <c r="F37" s="151"/>
      <c r="G37" s="151"/>
      <c r="H37" s="151"/>
      <c r="I37" s="151"/>
      <c r="J37" s="151"/>
      <c r="K37" s="151"/>
      <c r="L37" s="151"/>
    </row>
    <row r="38" spans="1:12" ht="16.5" x14ac:dyDescent="0.25">
      <c r="A38" s="145"/>
      <c r="B38" s="136"/>
      <c r="C38" s="142" t="s">
        <v>320</v>
      </c>
      <c r="D38" s="136"/>
      <c r="E38" s="136"/>
      <c r="F38" s="136"/>
      <c r="G38" s="136"/>
      <c r="H38" s="136"/>
      <c r="I38" s="136"/>
      <c r="J38" s="136"/>
      <c r="K38" s="136"/>
      <c r="L38" s="136"/>
    </row>
    <row r="39" spans="1:12" ht="12" customHeight="1" x14ac:dyDescent="0.25">
      <c r="A39" s="145"/>
      <c r="B39" s="145"/>
      <c r="C39" s="136"/>
      <c r="D39" s="136"/>
      <c r="E39" s="136"/>
      <c r="F39" s="136"/>
      <c r="G39" s="136"/>
      <c r="H39" s="136"/>
      <c r="I39" s="136"/>
      <c r="J39" s="136"/>
      <c r="K39" s="136"/>
      <c r="L39" s="136"/>
    </row>
    <row r="40" spans="1:12" ht="16.5" x14ac:dyDescent="0.25">
      <c r="A40" s="145" t="s">
        <v>50</v>
      </c>
      <c r="B40" s="152" t="s">
        <v>95</v>
      </c>
      <c r="C40" s="136"/>
      <c r="D40" s="136"/>
      <c r="E40" s="136"/>
      <c r="F40" s="136"/>
      <c r="G40" s="136"/>
      <c r="H40" s="136"/>
      <c r="I40" s="136"/>
      <c r="J40" s="136"/>
      <c r="K40" s="136"/>
      <c r="L40" s="136"/>
    </row>
    <row r="41" spans="1:12" ht="16.5" x14ac:dyDescent="0.25">
      <c r="A41" s="145"/>
      <c r="B41" s="152"/>
      <c r="C41" s="136"/>
      <c r="D41" s="136"/>
      <c r="E41" s="136"/>
      <c r="F41" s="136"/>
      <c r="G41" s="136"/>
      <c r="H41" s="136"/>
      <c r="I41" s="136"/>
      <c r="J41" s="136"/>
      <c r="K41" s="136"/>
      <c r="L41" s="136"/>
    </row>
    <row r="42" spans="1:12" ht="16.5" x14ac:dyDescent="0.25">
      <c r="A42" s="145" t="s">
        <v>50</v>
      </c>
      <c r="B42" s="153" t="s">
        <v>29</v>
      </c>
      <c r="C42" s="142"/>
      <c r="D42" s="142"/>
      <c r="E42" s="142"/>
      <c r="F42" s="142"/>
      <c r="G42" s="142"/>
      <c r="H42" s="142"/>
      <c r="I42" s="142"/>
      <c r="J42" s="142"/>
      <c r="K42" s="142"/>
      <c r="L42" s="142"/>
    </row>
    <row r="43" spans="1:12" ht="16.5" customHeight="1" x14ac:dyDescent="0.25">
      <c r="A43" s="154" t="s">
        <v>50</v>
      </c>
      <c r="B43" s="142" t="s">
        <v>286</v>
      </c>
      <c r="C43" s="142"/>
      <c r="D43" s="142"/>
      <c r="E43" s="142"/>
      <c r="F43" s="142"/>
      <c r="G43" s="142"/>
      <c r="H43" s="142"/>
      <c r="I43" s="142"/>
      <c r="J43" s="142"/>
      <c r="K43" s="142"/>
      <c r="L43" s="142"/>
    </row>
    <row r="44" spans="1:12" ht="16.5" customHeight="1" x14ac:dyDescent="0.25">
      <c r="A44" s="145" t="s">
        <v>50</v>
      </c>
      <c r="B44" s="142" t="s">
        <v>928</v>
      </c>
      <c r="C44" s="142"/>
      <c r="D44" s="142"/>
      <c r="E44" s="142"/>
      <c r="F44" s="142"/>
      <c r="G44" s="142"/>
      <c r="H44" s="142"/>
      <c r="I44" s="142"/>
      <c r="J44" s="142"/>
      <c r="K44" s="142"/>
      <c r="L44" s="142"/>
    </row>
    <row r="45" spans="1:12" ht="16.5" customHeight="1" x14ac:dyDescent="0.25">
      <c r="A45" s="145" t="s">
        <v>50</v>
      </c>
      <c r="B45" s="388" t="s">
        <v>929</v>
      </c>
      <c r="C45" s="388"/>
      <c r="D45" s="388"/>
      <c r="E45" s="388"/>
      <c r="F45" s="388"/>
      <c r="G45" s="388"/>
      <c r="H45" s="388"/>
      <c r="I45" s="388"/>
      <c r="J45" s="388"/>
      <c r="K45" s="388"/>
      <c r="L45" s="388"/>
    </row>
    <row r="46" spans="1:12" ht="16.5" hidden="1" x14ac:dyDescent="0.3">
      <c r="A46" s="136"/>
      <c r="B46" s="155"/>
      <c r="C46" s="91"/>
      <c r="D46" s="91"/>
      <c r="E46" s="91"/>
      <c r="F46" s="91"/>
      <c r="G46" s="91"/>
      <c r="H46" s="91"/>
      <c r="I46" s="91"/>
      <c r="J46" s="91"/>
      <c r="K46" s="91"/>
      <c r="L46" s="91"/>
    </row>
    <row r="47" spans="1:12" ht="16.5" hidden="1" x14ac:dyDescent="0.3">
      <c r="A47" s="136"/>
      <c r="B47" s="155"/>
      <c r="C47" s="91"/>
      <c r="D47" s="91"/>
      <c r="E47" s="91"/>
      <c r="F47" s="91"/>
      <c r="G47" s="91"/>
      <c r="H47" s="91"/>
      <c r="I47" s="91"/>
      <c r="J47" s="91"/>
      <c r="K47" s="91"/>
      <c r="L47" s="91"/>
    </row>
    <row r="48" spans="1:12" ht="16.5" hidden="1" x14ac:dyDescent="0.3">
      <c r="A48" s="136"/>
      <c r="B48" s="155"/>
      <c r="C48" s="91"/>
      <c r="D48" s="91"/>
      <c r="E48" s="91"/>
      <c r="F48" s="91"/>
      <c r="G48" s="91"/>
      <c r="H48" s="91"/>
      <c r="I48" s="91"/>
      <c r="J48" s="91"/>
      <c r="K48" s="91"/>
      <c r="L48" s="91"/>
    </row>
    <row r="49" spans="1:12" ht="16.5" hidden="1" x14ac:dyDescent="0.3">
      <c r="A49" s="136"/>
      <c r="B49" s="156"/>
      <c r="C49" s="91"/>
      <c r="D49" s="91"/>
      <c r="E49" s="91"/>
      <c r="F49" s="91"/>
      <c r="G49" s="91"/>
      <c r="H49" s="91"/>
      <c r="I49" s="91"/>
      <c r="J49" s="91"/>
      <c r="K49" s="91"/>
      <c r="L49" s="91"/>
    </row>
    <row r="50" spans="1:12" ht="16.5" x14ac:dyDescent="0.3">
      <c r="A50" s="136"/>
      <c r="B50" s="91"/>
      <c r="C50" s="91"/>
      <c r="D50" s="91"/>
      <c r="E50" s="91"/>
      <c r="F50" s="91"/>
      <c r="G50" s="91"/>
      <c r="H50" s="91"/>
      <c r="I50" s="91"/>
      <c r="J50" s="91"/>
      <c r="K50" s="91"/>
      <c r="L50" s="91"/>
    </row>
    <row r="51" spans="1:12" x14ac:dyDescent="0.25"/>
    <row r="52" spans="1:12" ht="16.5" x14ac:dyDescent="0.3">
      <c r="B52" s="91" t="s">
        <v>307</v>
      </c>
      <c r="F52" s="26"/>
      <c r="G52" s="158" t="s">
        <v>308</v>
      </c>
    </row>
    <row r="53" spans="1:12" x14ac:dyDescent="0.25">
      <c r="A53" s="130"/>
    </row>
    <row r="54" spans="1:12" ht="16.5" x14ac:dyDescent="0.3">
      <c r="G54" s="158"/>
    </row>
    <row r="55" spans="1:12" ht="16.5" x14ac:dyDescent="0.3">
      <c r="G55" s="158"/>
    </row>
    <row r="56" spans="1:12" ht="16.5" x14ac:dyDescent="0.3">
      <c r="G56" s="158"/>
    </row>
    <row r="57" spans="1:12" ht="16.5" x14ac:dyDescent="0.3">
      <c r="A57" s="159"/>
      <c r="B57" s="160"/>
      <c r="C57" s="160"/>
      <c r="D57" s="160"/>
      <c r="E57" s="160"/>
      <c r="F57" s="160"/>
      <c r="G57" s="161"/>
      <c r="H57" s="160"/>
      <c r="I57" s="160"/>
      <c r="J57" s="160"/>
      <c r="K57" s="160"/>
      <c r="L57" s="160"/>
    </row>
    <row r="58" spans="1:12" x14ac:dyDescent="0.25">
      <c r="B58" s="111" t="s">
        <v>380</v>
      </c>
      <c r="C58" s="112" t="str">
        <f>Development!$B$5&amp;"_"&amp;Development!$B$3</f>
        <v>1.1.25_1.0</v>
      </c>
      <c r="K58" s="113" t="s">
        <v>381</v>
      </c>
      <c r="L58" s="114" t="str">
        <f>Development!$B$5</f>
        <v>1.1.25</v>
      </c>
    </row>
    <row r="59" spans="1:12" x14ac:dyDescent="0.25"/>
    <row r="60" spans="1:12" x14ac:dyDescent="0.25"/>
    <row r="61" spans="1:12" x14ac:dyDescent="0.25"/>
    <row r="62" spans="1:12" x14ac:dyDescent="0.25"/>
  </sheetData>
  <sheetProtection algorithmName="SHA-512" hashValue="YbaePaJrsOqnVc1mlIDP/STF/lP+r/8SHWubDYCtZeXMbdYCQX4SgbvYplQv0FB0fvUuAtaelmaUnvb16FIPRw==" saltValue="DrX0gXSEOa7uQd2mRrvpUg==" spinCount="100000" sheet="1" objects="1" scenarios="1"/>
  <customSheetViews>
    <customSheetView guid="{413575D0-A88C-4EFD-A604-365F28B09173}" showGridLines="0" fitToPage="1" hiddenRows="1" hiddenColumns="1">
      <selection sqref="A1:L1"/>
      <pageMargins left="0.2" right="0.2" top="0.5" bottom="0.5" header="0.3" footer="0.3"/>
      <pageSetup scale="85" orientation="portrait" r:id="rId1"/>
    </customSheetView>
  </customSheetViews>
  <mergeCells count="70">
    <mergeCell ref="AZ2:BI2"/>
    <mergeCell ref="BJ2:BS2"/>
    <mergeCell ref="BT2:CC2"/>
    <mergeCell ref="CD2:CM2"/>
    <mergeCell ref="CN2:CW2"/>
    <mergeCell ref="CX2:DG2"/>
    <mergeCell ref="DH2:DQ2"/>
    <mergeCell ref="BJ1:BS1"/>
    <mergeCell ref="BT1:CC1"/>
    <mergeCell ref="CD1:CM1"/>
    <mergeCell ref="V1:AE1"/>
    <mergeCell ref="AF1:AO1"/>
    <mergeCell ref="AP1:AY1"/>
    <mergeCell ref="AZ1:BI1"/>
    <mergeCell ref="FP1:FY1"/>
    <mergeCell ref="EB1:EK1"/>
    <mergeCell ref="FF1:FO1"/>
    <mergeCell ref="CN1:CW1"/>
    <mergeCell ref="CX1:DG1"/>
    <mergeCell ref="DH1:DQ1"/>
    <mergeCell ref="FZ2:GI2"/>
    <mergeCell ref="GJ2:GS2"/>
    <mergeCell ref="IH1:IQ1"/>
    <mergeCell ref="DR1:EA1"/>
    <mergeCell ref="EL1:EU1"/>
    <mergeCell ref="EV1:FE1"/>
    <mergeCell ref="FZ1:GI1"/>
    <mergeCell ref="GJ1:GS1"/>
    <mergeCell ref="GT1:HC1"/>
    <mergeCell ref="DR2:EA2"/>
    <mergeCell ref="EL2:EU2"/>
    <mergeCell ref="FF2:FO2"/>
    <mergeCell ref="FP2:FY2"/>
    <mergeCell ref="EV2:FE2"/>
    <mergeCell ref="EB2:EK2"/>
    <mergeCell ref="IR1:IV1"/>
    <mergeCell ref="HX1:IG1"/>
    <mergeCell ref="GT2:HC2"/>
    <mergeCell ref="HN2:HW2"/>
    <mergeCell ref="HX2:IG2"/>
    <mergeCell ref="IH2:IQ2"/>
    <mergeCell ref="IR2:IV2"/>
    <mergeCell ref="HD1:HM1"/>
    <mergeCell ref="HN1:HW1"/>
    <mergeCell ref="HD2:HM2"/>
    <mergeCell ref="AP2:AY2"/>
    <mergeCell ref="B9:L9"/>
    <mergeCell ref="B12:L12"/>
    <mergeCell ref="B21:L21"/>
    <mergeCell ref="AF2:AO2"/>
    <mergeCell ref="B8:L8"/>
    <mergeCell ref="B7:L7"/>
    <mergeCell ref="B5:L5"/>
    <mergeCell ref="V2:AE2"/>
    <mergeCell ref="A4:L4"/>
    <mergeCell ref="B10:L10"/>
    <mergeCell ref="B13:L13"/>
    <mergeCell ref="B14:L14"/>
    <mergeCell ref="B15:L15"/>
    <mergeCell ref="B18:L18"/>
    <mergeCell ref="B19:L19"/>
    <mergeCell ref="B20:L20"/>
    <mergeCell ref="B45:L45"/>
    <mergeCell ref="B26:L26"/>
    <mergeCell ref="B29:L29"/>
    <mergeCell ref="B30:L30"/>
    <mergeCell ref="A27:L27"/>
    <mergeCell ref="B24:L24"/>
    <mergeCell ref="B25:I25"/>
    <mergeCell ref="B22:K22"/>
  </mergeCells>
  <hyperlinks>
    <hyperlink ref="D32" r:id="rId2" xr:uid="{00000000-0004-0000-0500-000000000000}"/>
    <hyperlink ref="B6" r:id="rId3" xr:uid="{00000000-0004-0000-0500-000001000000}"/>
    <hyperlink ref="B16" r:id="rId4" xr:uid="{00000000-0004-0000-0500-000002000000}"/>
    <hyperlink ref="D37" r:id="rId5" display="http://www.pseglinyportal.com/" xr:uid="{00000000-0004-0000-0500-000003000000}"/>
  </hyperlinks>
  <pageMargins left="0.2" right="0.2" top="0.5" bottom="0.5" header="0.3" footer="0.3"/>
  <pageSetup scale="61" orientation="portrait" r:id="rId6"/>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rgb="FF00B050"/>
    <pageSetUpPr fitToPage="1"/>
  </sheetPr>
  <dimension ref="A1:M58"/>
  <sheetViews>
    <sheetView showGridLines="0" zoomScaleNormal="100" workbookViewId="0"/>
  </sheetViews>
  <sheetFormatPr defaultColWidth="0" defaultRowHeight="16.5" zeroHeight="1" x14ac:dyDescent="0.3"/>
  <cols>
    <col min="1" max="1" width="3.5703125" style="91" customWidth="1"/>
    <col min="2" max="2" width="13.85546875" style="91" customWidth="1"/>
    <col min="3" max="3" width="50.5703125" style="91" customWidth="1"/>
    <col min="4" max="4" width="8.85546875" style="91" customWidth="1"/>
    <col min="5" max="5" width="14" style="91" customWidth="1"/>
    <col min="6" max="6" width="26.42578125" style="91" customWidth="1"/>
    <col min="7" max="7" width="29" style="91" customWidth="1"/>
    <col min="8" max="8" width="4.140625" style="91" customWidth="1"/>
    <col min="9" max="13" width="8.85546875" style="91" hidden="1" customWidth="1"/>
    <col min="14" max="16384" width="9.140625" style="91" hidden="1"/>
  </cols>
  <sheetData>
    <row r="1" spans="1:10" ht="60" customHeight="1" x14ac:dyDescent="0.3">
      <c r="A1" s="266"/>
      <c r="B1" s="265" t="str">
        <f>Development!A1</f>
        <v>2025 Commercial Efficiency Program</v>
      </c>
      <c r="C1" s="266"/>
      <c r="D1" s="266"/>
      <c r="E1" s="268"/>
      <c r="F1" s="268"/>
      <c r="G1" s="268"/>
      <c r="H1" s="268"/>
      <c r="I1" s="162"/>
      <c r="J1" s="162"/>
    </row>
    <row r="2" spans="1:10" ht="60" customHeight="1" thickBot="1" x14ac:dyDescent="0.35">
      <c r="A2" s="266"/>
      <c r="B2" s="267" t="s">
        <v>422</v>
      </c>
      <c r="C2" s="266"/>
      <c r="D2" s="266"/>
      <c r="E2" s="268"/>
      <c r="F2" s="268"/>
      <c r="G2" s="268"/>
      <c r="H2" s="268"/>
      <c r="I2" s="163"/>
      <c r="J2" s="163"/>
    </row>
    <row r="3" spans="1:10" ht="17.25" thickTop="1" x14ac:dyDescent="0.3">
      <c r="A3" s="229"/>
      <c r="B3" s="229"/>
      <c r="C3" s="229"/>
      <c r="D3" s="229"/>
      <c r="E3" s="229"/>
      <c r="F3" s="229"/>
      <c r="G3" s="229"/>
      <c r="H3" s="229"/>
    </row>
    <row r="4" spans="1:10" ht="18" customHeight="1" thickBot="1" x14ac:dyDescent="0.35">
      <c r="B4" s="164" t="s">
        <v>541</v>
      </c>
      <c r="C4" s="165"/>
      <c r="D4" s="165"/>
      <c r="E4" s="165"/>
      <c r="F4" s="165"/>
      <c r="G4" s="166"/>
    </row>
    <row r="5" spans="1:10" ht="27" customHeight="1" x14ac:dyDescent="0.3">
      <c r="B5" s="93" t="s">
        <v>30</v>
      </c>
      <c r="D5" s="97" t="s">
        <v>49</v>
      </c>
      <c r="E5" s="97"/>
      <c r="G5" s="97" t="s">
        <v>33</v>
      </c>
    </row>
    <row r="6" spans="1:10" ht="18" customHeight="1" x14ac:dyDescent="0.3">
      <c r="B6" s="167"/>
      <c r="D6" s="91" t="s">
        <v>28</v>
      </c>
      <c r="G6" s="91" t="s">
        <v>34</v>
      </c>
    </row>
    <row r="7" spans="1:10" ht="18" customHeight="1" x14ac:dyDescent="0.3">
      <c r="B7" s="167"/>
      <c r="D7" s="91" t="s">
        <v>181</v>
      </c>
      <c r="G7" s="91" t="s">
        <v>34</v>
      </c>
    </row>
    <row r="8" spans="1:10" ht="18" customHeight="1" x14ac:dyDescent="0.3">
      <c r="B8" s="167"/>
      <c r="D8" s="91" t="s">
        <v>28</v>
      </c>
      <c r="G8" s="91" t="s">
        <v>34</v>
      </c>
    </row>
    <row r="9" spans="1:10" ht="18" customHeight="1" x14ac:dyDescent="0.3">
      <c r="B9" s="167"/>
      <c r="D9" s="91" t="s">
        <v>181</v>
      </c>
      <c r="G9" s="91" t="s">
        <v>34</v>
      </c>
    </row>
    <row r="10" spans="1:10" ht="18" customHeight="1" x14ac:dyDescent="0.3">
      <c r="B10" s="167"/>
      <c r="D10" s="104" t="s">
        <v>273</v>
      </c>
      <c r="E10" s="104"/>
      <c r="G10" s="91" t="s">
        <v>34</v>
      </c>
    </row>
    <row r="11" spans="1:10" ht="18" customHeight="1" x14ac:dyDescent="0.3">
      <c r="B11" s="167"/>
      <c r="D11" s="104" t="s">
        <v>273</v>
      </c>
      <c r="E11" s="104"/>
      <c r="G11" s="91" t="s">
        <v>34</v>
      </c>
    </row>
    <row r="12" spans="1:10" ht="18" customHeight="1" x14ac:dyDescent="0.3">
      <c r="B12" s="167"/>
      <c r="D12" s="91" t="s">
        <v>28</v>
      </c>
      <c r="G12" s="91" t="s">
        <v>34</v>
      </c>
    </row>
    <row r="13" spans="1:10" ht="18" customHeight="1" x14ac:dyDescent="0.3">
      <c r="B13" s="167"/>
      <c r="D13" s="91" t="s">
        <v>28</v>
      </c>
      <c r="G13" s="91" t="s">
        <v>35</v>
      </c>
    </row>
    <row r="14" spans="1:10" ht="18" customHeight="1" x14ac:dyDescent="0.3">
      <c r="B14" s="167"/>
      <c r="D14" s="91" t="s">
        <v>28</v>
      </c>
      <c r="G14" s="91" t="s">
        <v>35</v>
      </c>
    </row>
    <row r="15" spans="1:10" ht="18" customHeight="1" x14ac:dyDescent="0.3">
      <c r="B15" s="167"/>
      <c r="G15" s="168"/>
    </row>
    <row r="16" spans="1:10" ht="14.25" customHeight="1" thickBot="1" x14ac:dyDescent="0.35">
      <c r="B16" s="164"/>
      <c r="C16" s="165"/>
      <c r="D16" s="165"/>
      <c r="E16" s="165"/>
      <c r="F16" s="166"/>
      <c r="G16" s="166"/>
    </row>
    <row r="17" spans="2:8" ht="14.25" customHeight="1" x14ac:dyDescent="0.3">
      <c r="B17" s="168"/>
      <c r="C17" s="168"/>
      <c r="G17" s="168"/>
    </row>
    <row r="18" spans="2:8" ht="21" customHeight="1" x14ac:dyDescent="0.3">
      <c r="B18" s="396" t="s">
        <v>309</v>
      </c>
      <c r="C18" s="397"/>
      <c r="D18" s="26"/>
      <c r="E18" s="158" t="s">
        <v>308</v>
      </c>
    </row>
    <row r="19" spans="2:8" ht="21" customHeight="1" x14ac:dyDescent="0.3">
      <c r="B19" s="130"/>
      <c r="C19" s="130"/>
      <c r="D19" s="130"/>
      <c r="E19" s="130"/>
      <c r="F19" s="130"/>
      <c r="G19" s="130"/>
      <c r="H19" s="158"/>
    </row>
    <row r="20" spans="2:8" s="158" customFormat="1" ht="21" hidden="1" customHeight="1" x14ac:dyDescent="0.3">
      <c r="B20" s="169" t="s">
        <v>27</v>
      </c>
    </row>
    <row r="21" spans="2:8" ht="21" hidden="1" customHeight="1" x14ac:dyDescent="0.3">
      <c r="B21" s="170" t="s">
        <v>274</v>
      </c>
      <c r="C21" s="171"/>
      <c r="D21" s="171"/>
      <c r="E21" s="171"/>
      <c r="F21" s="171"/>
      <c r="G21" s="171"/>
    </row>
    <row r="22" spans="2:8" ht="21" hidden="1" customHeight="1" x14ac:dyDescent="0.3">
      <c r="B22" s="172"/>
      <c r="C22" s="171"/>
      <c r="D22" s="171"/>
      <c r="E22" s="171"/>
      <c r="F22" s="171"/>
      <c r="G22" s="171"/>
    </row>
    <row r="23" spans="2:8" ht="21" hidden="1" customHeight="1" x14ac:dyDescent="0.3">
      <c r="B23" s="172"/>
      <c r="C23" s="171"/>
      <c r="D23" s="171"/>
      <c r="E23" s="171"/>
      <c r="F23" s="171"/>
      <c r="G23" s="171"/>
    </row>
    <row r="24" spans="2:8" ht="21" hidden="1" customHeight="1" x14ac:dyDescent="0.3">
      <c r="B24" s="172"/>
      <c r="C24" s="171"/>
      <c r="D24" s="171"/>
      <c r="E24" s="171"/>
      <c r="F24" s="171"/>
      <c r="G24" s="171"/>
    </row>
    <row r="25" spans="2:8" ht="21" hidden="1" customHeight="1" x14ac:dyDescent="0.3">
      <c r="B25" s="172"/>
      <c r="C25" s="171"/>
      <c r="D25" s="171"/>
      <c r="E25" s="171"/>
      <c r="F25" s="171"/>
      <c r="G25" s="171"/>
    </row>
    <row r="26" spans="2:8" ht="21" hidden="1" customHeight="1" x14ac:dyDescent="0.3">
      <c r="B26" s="172" t="s">
        <v>38</v>
      </c>
      <c r="C26" s="171"/>
      <c r="D26" s="398"/>
      <c r="E26" s="398"/>
      <c r="F26" s="398"/>
      <c r="G26" s="170" t="s">
        <v>273</v>
      </c>
    </row>
    <row r="27" spans="2:8" ht="21" hidden="1" customHeight="1" x14ac:dyDescent="0.3">
      <c r="B27" s="172" t="s">
        <v>37</v>
      </c>
      <c r="C27" s="171"/>
      <c r="D27" s="399"/>
      <c r="E27" s="399"/>
      <c r="F27" s="399"/>
      <c r="G27" s="171" t="s">
        <v>26</v>
      </c>
    </row>
    <row r="28" spans="2:8" s="174" customFormat="1" ht="21" hidden="1" customHeight="1" x14ac:dyDescent="0.2">
      <c r="B28" s="173"/>
      <c r="C28" s="173"/>
      <c r="D28" s="173"/>
      <c r="E28" s="173"/>
      <c r="F28" s="173"/>
      <c r="G28" s="173"/>
    </row>
    <row r="29" spans="2:8" ht="13.35" hidden="1" customHeight="1" x14ac:dyDescent="0.3">
      <c r="B29" s="171"/>
      <c r="C29" s="171"/>
      <c r="D29" s="171"/>
      <c r="E29" s="171"/>
      <c r="F29" s="171"/>
      <c r="G29" s="171"/>
    </row>
    <row r="30" spans="2:8" ht="13.35" hidden="1" customHeight="1" x14ac:dyDescent="0.3">
      <c r="B30" s="171"/>
      <c r="C30" s="171"/>
      <c r="D30" s="171"/>
      <c r="E30" s="171"/>
      <c r="F30" s="171"/>
      <c r="G30" s="171"/>
    </row>
    <row r="31" spans="2:8" ht="15.6" hidden="1" customHeight="1" x14ac:dyDescent="0.3">
      <c r="B31" s="171"/>
      <c r="C31" s="175" t="s">
        <v>122</v>
      </c>
      <c r="D31" s="29"/>
      <c r="E31" s="173"/>
      <c r="F31" s="176" t="s">
        <v>121</v>
      </c>
      <c r="G31" s="171"/>
    </row>
    <row r="32" spans="2:8" hidden="1" x14ac:dyDescent="0.3">
      <c r="B32" s="171"/>
      <c r="C32" s="171"/>
      <c r="D32" s="171"/>
      <c r="E32" s="171"/>
      <c r="F32" s="171"/>
      <c r="G32" s="30"/>
    </row>
    <row r="39" spans="2:7" x14ac:dyDescent="0.3">
      <c r="B39" s="94"/>
      <c r="C39" s="94"/>
      <c r="D39" s="94"/>
      <c r="E39" s="94"/>
      <c r="F39" s="94"/>
      <c r="G39" s="94"/>
    </row>
    <row r="40" spans="2:7" x14ac:dyDescent="0.3">
      <c r="B40" s="111" t="s">
        <v>380</v>
      </c>
      <c r="C40" s="112" t="str">
        <f>Development!$B$5&amp;"_"&amp;Development!$B$3</f>
        <v>1.1.25_1.0</v>
      </c>
      <c r="F40" s="113" t="s">
        <v>381</v>
      </c>
      <c r="G40" s="114" t="str">
        <f>Development!$B$5</f>
        <v>1.1.25</v>
      </c>
    </row>
    <row r="41" spans="2:7" x14ac:dyDescent="0.3"/>
    <row r="42" spans="2:7" x14ac:dyDescent="0.3"/>
    <row r="43" spans="2:7" x14ac:dyDescent="0.3"/>
    <row r="44" spans="2:7" x14ac:dyDescent="0.3"/>
    <row r="45" spans="2:7" x14ac:dyDescent="0.3"/>
    <row r="46" spans="2:7" x14ac:dyDescent="0.3"/>
    <row r="47" spans="2:7" x14ac:dyDescent="0.3"/>
    <row r="48" spans="2:7" x14ac:dyDescent="0.3"/>
    <row r="49" x14ac:dyDescent="0.3"/>
    <row r="50" x14ac:dyDescent="0.3"/>
    <row r="51" x14ac:dyDescent="0.3"/>
    <row r="52" x14ac:dyDescent="0.3"/>
    <row r="53" x14ac:dyDescent="0.3"/>
    <row r="54" x14ac:dyDescent="0.3"/>
    <row r="55" x14ac:dyDescent="0.3"/>
    <row r="56" x14ac:dyDescent="0.3"/>
    <row r="57" x14ac:dyDescent="0.3"/>
    <row r="58" x14ac:dyDescent="0.3"/>
  </sheetData>
  <sheetProtection algorithmName="SHA-512" hashValue="rzEQTjbGsPv6jI8khmlvalGPk8UVF5oBiyEoieIi6UzgzJGwJy7edkt11FOM/+qzWG/e2WEOTNXFm7vANpSSlg==" saltValue="HjsNmbjEtm4ZE4VuLXm5RQ==" spinCount="100000" sheet="1" objects="1" scenarios="1"/>
  <customSheetViews>
    <customSheetView guid="{413575D0-A88C-4EFD-A604-365F28B09173}" showGridLines="0" fitToPage="1" hiddenRows="1" hiddenColumns="1">
      <selection sqref="A1:E1"/>
      <pageMargins left="0.2" right="0.2" top="0.5" bottom="0.25" header="0.3" footer="0.3"/>
      <pageSetup scale="80" orientation="portrait" r:id="rId1"/>
    </customSheetView>
  </customSheetViews>
  <mergeCells count="3">
    <mergeCell ref="B18:C18"/>
    <mergeCell ref="D26:F26"/>
    <mergeCell ref="D27:F27"/>
  </mergeCells>
  <printOptions horizontalCentered="1"/>
  <pageMargins left="0" right="0" top="0.25" bottom="0.25" header="0.3" footer="0.3"/>
  <pageSetup scale="72"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6333" r:id="rId5" name="Check Box 13">
              <controlPr defaultSize="0" autoFill="0" autoLine="0" autoPict="0">
                <anchor moveWithCells="1">
                  <from>
                    <xdr:col>13</xdr:col>
                    <xdr:colOff>0</xdr:colOff>
                    <xdr:row>3</xdr:row>
                    <xdr:rowOff>0</xdr:rowOff>
                  </from>
                  <to>
                    <xdr:col>14</xdr:col>
                    <xdr:colOff>0</xdr:colOff>
                    <xdr:row>3</xdr:row>
                    <xdr:rowOff>0</xdr:rowOff>
                  </to>
                </anchor>
              </controlPr>
            </control>
          </mc:Choice>
        </mc:AlternateContent>
        <mc:AlternateContent xmlns:mc="http://schemas.openxmlformats.org/markup-compatibility/2006">
          <mc:Choice Requires="x14">
            <control shapeId="56334" r:id="rId6" name="Check Box 14">
              <controlPr defaultSize="0" autoFill="0" autoLine="0" autoPict="0">
                <anchor moveWithCells="1">
                  <from>
                    <xdr:col>13</xdr:col>
                    <xdr:colOff>0</xdr:colOff>
                    <xdr:row>3</xdr:row>
                    <xdr:rowOff>0</xdr:rowOff>
                  </from>
                  <to>
                    <xdr:col>14</xdr:col>
                    <xdr:colOff>0</xdr:colOff>
                    <xdr:row>3</xdr:row>
                    <xdr:rowOff>0</xdr:rowOff>
                  </to>
                </anchor>
              </controlPr>
            </control>
          </mc:Choice>
        </mc:AlternateContent>
        <mc:AlternateContent xmlns:mc="http://schemas.openxmlformats.org/markup-compatibility/2006">
          <mc:Choice Requires="x14">
            <control shapeId="56498" r:id="rId7" name="Check Box 178">
              <controlPr defaultSize="0" autoFill="0" autoLine="0" autoPict="0">
                <anchor moveWithCells="1">
                  <from>
                    <xdr:col>1</xdr:col>
                    <xdr:colOff>857250</xdr:colOff>
                    <xdr:row>5</xdr:row>
                    <xdr:rowOff>76200</xdr:rowOff>
                  </from>
                  <to>
                    <xdr:col>2</xdr:col>
                    <xdr:colOff>3429000</xdr:colOff>
                    <xdr:row>6</xdr:row>
                    <xdr:rowOff>19050</xdr:rowOff>
                  </to>
                </anchor>
              </controlPr>
            </control>
          </mc:Choice>
        </mc:AlternateContent>
        <mc:AlternateContent xmlns:mc="http://schemas.openxmlformats.org/markup-compatibility/2006">
          <mc:Choice Requires="x14">
            <control shapeId="56499" r:id="rId8" name="Check Box 179">
              <controlPr defaultSize="0" autoFill="0" autoLine="0" autoPict="0">
                <anchor moveWithCells="1">
                  <from>
                    <xdr:col>1</xdr:col>
                    <xdr:colOff>857250</xdr:colOff>
                    <xdr:row>6</xdr:row>
                    <xdr:rowOff>47625</xdr:rowOff>
                  </from>
                  <to>
                    <xdr:col>2</xdr:col>
                    <xdr:colOff>3429000</xdr:colOff>
                    <xdr:row>7</xdr:row>
                    <xdr:rowOff>9525</xdr:rowOff>
                  </to>
                </anchor>
              </controlPr>
            </control>
          </mc:Choice>
        </mc:AlternateContent>
        <mc:AlternateContent xmlns:mc="http://schemas.openxmlformats.org/markup-compatibility/2006">
          <mc:Choice Requires="x14">
            <control shapeId="56501" r:id="rId9" name="Check Box 181">
              <controlPr defaultSize="0" autoFill="0" autoLine="0" autoPict="0">
                <anchor moveWithCells="1">
                  <from>
                    <xdr:col>1</xdr:col>
                    <xdr:colOff>857250</xdr:colOff>
                    <xdr:row>13</xdr:row>
                    <xdr:rowOff>76200</xdr:rowOff>
                  </from>
                  <to>
                    <xdr:col>2</xdr:col>
                    <xdr:colOff>3429000</xdr:colOff>
                    <xdr:row>14</xdr:row>
                    <xdr:rowOff>47625</xdr:rowOff>
                  </to>
                </anchor>
              </controlPr>
            </control>
          </mc:Choice>
        </mc:AlternateContent>
        <mc:AlternateContent xmlns:mc="http://schemas.openxmlformats.org/markup-compatibility/2006">
          <mc:Choice Requires="x14">
            <control shapeId="56502" r:id="rId10" name="Check Box 182">
              <controlPr defaultSize="0" autoFill="0" autoLine="0" autoPict="0">
                <anchor moveWithCells="1">
                  <from>
                    <xdr:col>1</xdr:col>
                    <xdr:colOff>857250</xdr:colOff>
                    <xdr:row>8</xdr:row>
                    <xdr:rowOff>57150</xdr:rowOff>
                  </from>
                  <to>
                    <xdr:col>2</xdr:col>
                    <xdr:colOff>3429000</xdr:colOff>
                    <xdr:row>9</xdr:row>
                    <xdr:rowOff>9525</xdr:rowOff>
                  </to>
                </anchor>
              </controlPr>
            </control>
          </mc:Choice>
        </mc:AlternateContent>
        <mc:AlternateContent xmlns:mc="http://schemas.openxmlformats.org/markup-compatibility/2006">
          <mc:Choice Requires="x14">
            <control shapeId="56503" r:id="rId11" name="Check Box 183">
              <controlPr defaultSize="0" autoFill="0" autoLine="0" autoPict="0">
                <anchor moveWithCells="1">
                  <from>
                    <xdr:col>1</xdr:col>
                    <xdr:colOff>857250</xdr:colOff>
                    <xdr:row>12</xdr:row>
                    <xdr:rowOff>47625</xdr:rowOff>
                  </from>
                  <to>
                    <xdr:col>2</xdr:col>
                    <xdr:colOff>3429000</xdr:colOff>
                    <xdr:row>13</xdr:row>
                    <xdr:rowOff>19050</xdr:rowOff>
                  </to>
                </anchor>
              </controlPr>
            </control>
          </mc:Choice>
        </mc:AlternateContent>
        <mc:AlternateContent xmlns:mc="http://schemas.openxmlformats.org/markup-compatibility/2006">
          <mc:Choice Requires="x14">
            <control shapeId="56504" r:id="rId12" name="Check Box 184">
              <controlPr defaultSize="0" autoFill="0" autoLine="0" autoPict="0">
                <anchor moveWithCells="1">
                  <from>
                    <xdr:col>1</xdr:col>
                    <xdr:colOff>857250</xdr:colOff>
                    <xdr:row>10</xdr:row>
                    <xdr:rowOff>47625</xdr:rowOff>
                  </from>
                  <to>
                    <xdr:col>2</xdr:col>
                    <xdr:colOff>3429000</xdr:colOff>
                    <xdr:row>11</xdr:row>
                    <xdr:rowOff>9525</xdr:rowOff>
                  </to>
                </anchor>
              </controlPr>
            </control>
          </mc:Choice>
        </mc:AlternateContent>
        <mc:AlternateContent xmlns:mc="http://schemas.openxmlformats.org/markup-compatibility/2006">
          <mc:Choice Requires="x14">
            <control shapeId="56515" r:id="rId13" name="Check Box 195">
              <controlPr defaultSize="0" autoFill="0" autoLine="0" autoPict="0">
                <anchor moveWithCells="1">
                  <from>
                    <xdr:col>1</xdr:col>
                    <xdr:colOff>857250</xdr:colOff>
                    <xdr:row>9</xdr:row>
                    <xdr:rowOff>47625</xdr:rowOff>
                  </from>
                  <to>
                    <xdr:col>2</xdr:col>
                    <xdr:colOff>3429000</xdr:colOff>
                    <xdr:row>9</xdr:row>
                    <xdr:rowOff>276225</xdr:rowOff>
                  </to>
                </anchor>
              </controlPr>
            </control>
          </mc:Choice>
        </mc:AlternateContent>
        <mc:AlternateContent xmlns:mc="http://schemas.openxmlformats.org/markup-compatibility/2006">
          <mc:Choice Requires="x14">
            <control shapeId="56517" r:id="rId14" name="Check Box 197">
              <controlPr defaultSize="0" autoFill="0" autoLine="0" autoPict="0">
                <anchor moveWithCells="1">
                  <from>
                    <xdr:col>1</xdr:col>
                    <xdr:colOff>857250</xdr:colOff>
                    <xdr:row>11</xdr:row>
                    <xdr:rowOff>57150</xdr:rowOff>
                  </from>
                  <to>
                    <xdr:col>2</xdr:col>
                    <xdr:colOff>3429000</xdr:colOff>
                    <xdr:row>11</xdr:row>
                    <xdr:rowOff>314325</xdr:rowOff>
                  </to>
                </anchor>
              </controlPr>
            </control>
          </mc:Choice>
        </mc:AlternateContent>
        <mc:AlternateContent xmlns:mc="http://schemas.openxmlformats.org/markup-compatibility/2006">
          <mc:Choice Requires="x14">
            <control shapeId="56522" r:id="rId15" name="Check Box 202">
              <controlPr defaultSize="0" autoFill="0" autoLine="0" autoPict="0">
                <anchor moveWithCells="1">
                  <from>
                    <xdr:col>1</xdr:col>
                    <xdr:colOff>857250</xdr:colOff>
                    <xdr:row>7</xdr:row>
                    <xdr:rowOff>66675</xdr:rowOff>
                  </from>
                  <to>
                    <xdr:col>2</xdr:col>
                    <xdr:colOff>3429000</xdr:colOff>
                    <xdr:row>8</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rgb="FF142C41"/>
    <pageSetUpPr fitToPage="1"/>
  </sheetPr>
  <dimension ref="A1:IV67"/>
  <sheetViews>
    <sheetView showGridLines="0" zoomScaleNormal="100" workbookViewId="0"/>
  </sheetViews>
  <sheetFormatPr defaultColWidth="0" defaultRowHeight="15" zeroHeight="1" x14ac:dyDescent="0.25"/>
  <cols>
    <col min="1" max="1" width="3.5703125" style="130" customWidth="1"/>
    <col min="2" max="2" width="14.42578125" style="130" customWidth="1"/>
    <col min="3" max="3" width="23" style="130" customWidth="1"/>
    <col min="4" max="4" width="10" style="130" customWidth="1"/>
    <col min="5" max="5" width="11.85546875" style="130" customWidth="1"/>
    <col min="6" max="6" width="12.85546875" style="195" customWidth="1"/>
    <col min="7" max="7" width="18.7109375" style="195" customWidth="1"/>
    <col min="8" max="8" width="29.5703125" style="195" customWidth="1"/>
    <col min="9" max="9" width="17.5703125" style="130" customWidth="1"/>
    <col min="10" max="10" width="36.140625" style="130" customWidth="1"/>
    <col min="11" max="11" width="44.5703125" style="130" customWidth="1"/>
    <col min="12" max="12" width="25.5703125" style="130" customWidth="1"/>
    <col min="13" max="13" width="14.85546875" style="130" customWidth="1"/>
    <col min="14" max="14" width="5.42578125" style="130" customWidth="1"/>
    <col min="15" max="20" width="0" style="130" hidden="1" customWidth="1"/>
    <col min="21" max="256" width="8.85546875" style="130" hidden="1" customWidth="1"/>
    <col min="257" max="16384" width="4.42578125" style="130" hidden="1"/>
  </cols>
  <sheetData>
    <row r="1" spans="1:15" s="139" customFormat="1" ht="60" customHeight="1" x14ac:dyDescent="0.25">
      <c r="A1" s="266"/>
      <c r="B1" s="265" t="str">
        <f>Development!B4&amp;" "&amp;"Commercial Efficiency Program"</f>
        <v>2025 Commercial Efficiency Program</v>
      </c>
      <c r="C1" s="266"/>
      <c r="D1" s="266"/>
      <c r="E1" s="266"/>
      <c r="F1" s="266"/>
      <c r="G1" s="266"/>
      <c r="H1" s="266"/>
      <c r="I1" s="268"/>
      <c r="J1" s="268"/>
      <c r="K1" s="268"/>
      <c r="L1" s="268"/>
      <c r="M1" s="268"/>
      <c r="N1" s="268"/>
    </row>
    <row r="2" spans="1:15" s="139" customFormat="1" ht="60" customHeight="1" thickBot="1" x14ac:dyDescent="0.3">
      <c r="A2" s="266"/>
      <c r="B2" s="267" t="s">
        <v>545</v>
      </c>
      <c r="C2" s="266"/>
      <c r="D2" s="266"/>
      <c r="E2" s="266"/>
      <c r="F2" s="266"/>
      <c r="G2" s="266"/>
      <c r="H2" s="266"/>
      <c r="I2" s="268"/>
      <c r="J2" s="268"/>
      <c r="K2" s="268"/>
      <c r="L2" s="268"/>
      <c r="M2" s="268"/>
      <c r="N2" s="268"/>
    </row>
    <row r="3" spans="1:15" ht="104.1" customHeight="1" thickTop="1" x14ac:dyDescent="0.3">
      <c r="A3" s="229"/>
      <c r="B3" s="451" t="s">
        <v>1092</v>
      </c>
      <c r="C3" s="452"/>
      <c r="D3" s="452"/>
      <c r="E3" s="452"/>
      <c r="F3" s="452"/>
      <c r="G3" s="452"/>
      <c r="H3" s="452"/>
      <c r="I3" s="452"/>
      <c r="J3" s="452"/>
      <c r="K3" s="452"/>
      <c r="L3" s="452"/>
      <c r="M3" s="452"/>
      <c r="N3" s="229"/>
    </row>
    <row r="4" spans="1:15" ht="25.35" customHeight="1" thickBot="1" x14ac:dyDescent="0.3">
      <c r="B4" s="453" t="s">
        <v>976</v>
      </c>
      <c r="C4" s="453"/>
      <c r="D4" s="453"/>
      <c r="E4" s="453"/>
      <c r="F4" s="453"/>
      <c r="G4" s="453"/>
      <c r="H4" s="453"/>
      <c r="I4" s="453"/>
      <c r="J4" s="453"/>
      <c r="K4" s="453"/>
      <c r="L4" s="453"/>
      <c r="M4" s="453"/>
      <c r="N4" s="177"/>
      <c r="O4" s="177"/>
    </row>
    <row r="5" spans="1:15" ht="33" x14ac:dyDescent="0.25">
      <c r="B5" s="274" t="s">
        <v>22</v>
      </c>
      <c r="C5" s="275" t="s">
        <v>43</v>
      </c>
      <c r="D5" s="276" t="s">
        <v>1069</v>
      </c>
      <c r="E5" s="276" t="s">
        <v>383</v>
      </c>
      <c r="F5" s="276" t="s">
        <v>514</v>
      </c>
      <c r="G5" s="277" t="s">
        <v>546</v>
      </c>
      <c r="H5" s="277" t="s">
        <v>629</v>
      </c>
      <c r="I5" s="454" t="s">
        <v>23</v>
      </c>
      <c r="J5" s="455"/>
      <c r="K5" s="283"/>
      <c r="L5" s="275" t="s">
        <v>24</v>
      </c>
      <c r="M5" s="278" t="s">
        <v>32</v>
      </c>
    </row>
    <row r="6" spans="1:15" ht="15.75" x14ac:dyDescent="0.25">
      <c r="B6" s="400" t="s">
        <v>25</v>
      </c>
      <c r="C6" s="401"/>
      <c r="D6" s="401"/>
      <c r="E6" s="401"/>
      <c r="F6" s="401"/>
      <c r="G6" s="401"/>
      <c r="H6" s="401"/>
      <c r="I6" s="401"/>
      <c r="J6" s="401"/>
      <c r="K6" s="401"/>
      <c r="L6" s="401"/>
      <c r="M6" s="402"/>
    </row>
    <row r="7" spans="1:15" ht="111" customHeight="1" x14ac:dyDescent="0.25">
      <c r="B7" s="178" t="s">
        <v>382</v>
      </c>
      <c r="C7" s="179" t="s">
        <v>938</v>
      </c>
      <c r="D7" s="180" t="s">
        <v>379</v>
      </c>
      <c r="E7" s="180" t="s">
        <v>506</v>
      </c>
      <c r="F7" s="254"/>
      <c r="G7" s="433" t="s">
        <v>539</v>
      </c>
      <c r="H7" s="434"/>
      <c r="I7" s="416" t="s">
        <v>859</v>
      </c>
      <c r="J7" s="417"/>
      <c r="K7" s="418"/>
      <c r="L7" s="464"/>
      <c r="M7" s="182">
        <f>IF(F7="","0",IF('Customer Information'!$C$18="Yes",(INDEX(References!$N$4:$AA$28,MATCH(Worksheet!B7,References!$N$4:$N$28,0),14)),IF('Customer Information'!$C$18="No",INDEX(References!$N$4:$AA$28,MATCH(Worksheet!B7,References!$N$4:$N$28,0),13))))*F7</f>
        <v>0</v>
      </c>
      <c r="N7" s="344"/>
    </row>
    <row r="8" spans="1:15" ht="111" customHeight="1" x14ac:dyDescent="0.25">
      <c r="B8" s="178" t="s">
        <v>951</v>
      </c>
      <c r="C8" s="179" t="s">
        <v>956</v>
      </c>
      <c r="D8" s="180" t="s">
        <v>379</v>
      </c>
      <c r="E8" s="180" t="s">
        <v>506</v>
      </c>
      <c r="F8" s="234"/>
      <c r="G8" s="437"/>
      <c r="H8" s="438"/>
      <c r="I8" s="422"/>
      <c r="J8" s="423"/>
      <c r="K8" s="424"/>
      <c r="L8" s="465"/>
      <c r="M8" s="182">
        <f>IF(F8="","0",IF('Customer Information'!$C$18="Yes",(INDEX(References!$N$4:$AA$28,MATCH(B8,References!$N$4:$N$28,0),14)),IF('Customer Information'!$C$18="No",INDEX(References!$N$4:$AA$28,MATCH(Worksheet!B8,References!$N$4:$N$28,0),13))))*(F8)</f>
        <v>0</v>
      </c>
      <c r="N8" s="344"/>
    </row>
    <row r="9" spans="1:15" ht="15.75" x14ac:dyDescent="0.25">
      <c r="B9" s="400" t="s">
        <v>44</v>
      </c>
      <c r="C9" s="401"/>
      <c r="D9" s="401"/>
      <c r="E9" s="401"/>
      <c r="F9" s="401"/>
      <c r="G9" s="401"/>
      <c r="H9" s="401"/>
      <c r="I9" s="401"/>
      <c r="J9" s="401"/>
      <c r="K9" s="401"/>
      <c r="L9" s="401"/>
      <c r="M9" s="402"/>
      <c r="N9" s="344"/>
    </row>
    <row r="10" spans="1:15" ht="102" customHeight="1" x14ac:dyDescent="0.25">
      <c r="B10" s="456" t="s">
        <v>1054</v>
      </c>
      <c r="C10" s="458" t="s">
        <v>677</v>
      </c>
      <c r="D10" s="460" t="s">
        <v>893</v>
      </c>
      <c r="E10" s="245" t="s">
        <v>895</v>
      </c>
      <c r="F10" s="252"/>
      <c r="G10" s="241" t="s">
        <v>843</v>
      </c>
      <c r="H10" s="8"/>
      <c r="I10" s="245" t="s">
        <v>987</v>
      </c>
      <c r="J10" s="252"/>
      <c r="K10" s="418" t="s">
        <v>894</v>
      </c>
      <c r="L10" s="462"/>
      <c r="M10" s="466">
        <f>IF(J10="","0",IF('Customer Information'!$C$18="Yes",(INDEX(References!$N$4:$AA$28,MATCH(B10,References!$N$4:$N$28,0),14)),IF('Customer Information'!$C$18="No",INDEX(References!$N$4:$AA$28,MATCH(B10,References!$N$4:$N$28,0),13))))*F10</f>
        <v>0</v>
      </c>
      <c r="N10" s="344"/>
    </row>
    <row r="11" spans="1:15" ht="102" customHeight="1" x14ac:dyDescent="0.25">
      <c r="B11" s="457"/>
      <c r="C11" s="459"/>
      <c r="D11" s="461"/>
      <c r="E11" s="240" t="s">
        <v>985</v>
      </c>
      <c r="F11" s="284" t="str">
        <f>IF(AND(J10="",J11=""),"",J10*J11)</f>
        <v/>
      </c>
      <c r="G11" s="241" t="s">
        <v>844</v>
      </c>
      <c r="H11" s="8"/>
      <c r="I11" s="240" t="s">
        <v>988</v>
      </c>
      <c r="J11" s="243"/>
      <c r="K11" s="424"/>
      <c r="L11" s="463"/>
      <c r="M11" s="467"/>
      <c r="N11" s="344"/>
    </row>
    <row r="12" spans="1:15" ht="15.75" x14ac:dyDescent="0.25">
      <c r="B12" s="400" t="s">
        <v>487</v>
      </c>
      <c r="C12" s="401"/>
      <c r="D12" s="401"/>
      <c r="E12" s="401"/>
      <c r="F12" s="401"/>
      <c r="G12" s="401"/>
      <c r="H12" s="401"/>
      <c r="I12" s="401"/>
      <c r="J12" s="401"/>
      <c r="K12" s="401"/>
      <c r="L12" s="401"/>
      <c r="M12" s="402"/>
      <c r="N12" s="344"/>
    </row>
    <row r="13" spans="1:15" ht="111" customHeight="1" x14ac:dyDescent="0.3">
      <c r="B13" s="178" t="s">
        <v>480</v>
      </c>
      <c r="C13" s="179" t="s">
        <v>530</v>
      </c>
      <c r="D13" s="180" t="s">
        <v>481</v>
      </c>
      <c r="E13" s="180" t="s">
        <v>508</v>
      </c>
      <c r="F13" s="8"/>
      <c r="G13" s="405" t="s">
        <v>539</v>
      </c>
      <c r="H13" s="406"/>
      <c r="I13" s="413" t="s">
        <v>778</v>
      </c>
      <c r="J13" s="414"/>
      <c r="K13" s="415"/>
      <c r="L13" s="181"/>
      <c r="M13" s="182">
        <f>IF(F13="","0",IF('Customer Information'!$C$18="Yes",(INDEX(References!$N$4:$AA$28,MATCH(B13,References!$N$4:$N$28,0),14)),IF('Customer Information'!$C$18="No",INDEX(References!$N$4:$AA$28,MATCH(B13,References!$N$4:$N$28,0),13))))*F13</f>
        <v>0</v>
      </c>
      <c r="N13" s="344"/>
    </row>
    <row r="14" spans="1:15" ht="15.75" x14ac:dyDescent="0.25">
      <c r="B14" s="400" t="s">
        <v>504</v>
      </c>
      <c r="C14" s="401"/>
      <c r="D14" s="401"/>
      <c r="E14" s="401"/>
      <c r="F14" s="401"/>
      <c r="G14" s="401"/>
      <c r="H14" s="401"/>
      <c r="I14" s="401"/>
      <c r="J14" s="401"/>
      <c r="K14" s="401"/>
      <c r="L14" s="401"/>
      <c r="M14" s="402"/>
      <c r="N14" s="344"/>
    </row>
    <row r="15" spans="1:15" ht="60" customHeight="1" x14ac:dyDescent="0.25">
      <c r="B15" s="412" t="s">
        <v>503</v>
      </c>
      <c r="C15" s="407" t="s">
        <v>531</v>
      </c>
      <c r="D15" s="408" t="s">
        <v>505</v>
      </c>
      <c r="E15" s="232" t="s">
        <v>619</v>
      </c>
      <c r="F15" s="65"/>
      <c r="G15" s="185" t="s">
        <v>620</v>
      </c>
      <c r="H15" s="8"/>
      <c r="I15" s="416" t="s">
        <v>868</v>
      </c>
      <c r="J15" s="417"/>
      <c r="K15" s="418"/>
      <c r="L15" s="428"/>
      <c r="M15" s="425">
        <f>IF(F18="","0",IF('Customer Information'!$C$18="Yes",(INDEX(References!$N$4:$AA$28,MATCH(B15,References!$N$4:$N$28,0),14)),IF('Customer Information'!$C$18="No",INDEX(References!$N$4:$AA$28,MATCH(B15,References!$N$4:$N$28,0),13))))*H17</f>
        <v>0</v>
      </c>
      <c r="N15" s="345" t="s">
        <v>622</v>
      </c>
    </row>
    <row r="16" spans="1:15" ht="63.6" customHeight="1" x14ac:dyDescent="0.25">
      <c r="B16" s="412"/>
      <c r="C16" s="407"/>
      <c r="D16" s="408"/>
      <c r="E16" s="232" t="s">
        <v>617</v>
      </c>
      <c r="F16" s="8"/>
      <c r="G16" s="185" t="s">
        <v>618</v>
      </c>
      <c r="H16" s="64"/>
      <c r="I16" s="419"/>
      <c r="J16" s="420"/>
      <c r="K16" s="421"/>
      <c r="L16" s="428"/>
      <c r="M16" s="426"/>
      <c r="N16" s="345" t="s">
        <v>623</v>
      </c>
    </row>
    <row r="17" spans="2:14" ht="63.95" customHeight="1" x14ac:dyDescent="0.25">
      <c r="B17" s="412"/>
      <c r="C17" s="407"/>
      <c r="D17" s="408"/>
      <c r="E17" s="233" t="s">
        <v>626</v>
      </c>
      <c r="F17" s="186" t="str">
        <f>IF($F$15="No Selection","",IF($F$15="Calculate from Nameplate Data",IF((F16*H17*SQRT(H15)*0.55)/746&lt;1,"Calculated hp cannot be less than 1",(F16*H17*SQRT(H15)*0.55)/746),"Input hp capacity in cell H17"))</f>
        <v>Input hp capacity in cell H17</v>
      </c>
      <c r="G17" s="180" t="s">
        <v>627</v>
      </c>
      <c r="H17" s="66"/>
      <c r="I17" s="419"/>
      <c r="J17" s="420"/>
      <c r="K17" s="421"/>
      <c r="L17" s="428"/>
      <c r="M17" s="426"/>
      <c r="N17" s="345" t="s">
        <v>624</v>
      </c>
    </row>
    <row r="18" spans="2:14" ht="63.95" customHeight="1" x14ac:dyDescent="0.25">
      <c r="B18" s="412"/>
      <c r="C18" s="407"/>
      <c r="D18" s="408"/>
      <c r="E18" s="180" t="s">
        <v>820</v>
      </c>
      <c r="F18" s="409"/>
      <c r="G18" s="410"/>
      <c r="H18" s="411"/>
      <c r="I18" s="422"/>
      <c r="J18" s="423"/>
      <c r="K18" s="424"/>
      <c r="L18" s="428"/>
      <c r="M18" s="427"/>
      <c r="N18" s="344"/>
    </row>
    <row r="19" spans="2:14" ht="15.75" x14ac:dyDescent="0.25">
      <c r="B19" s="400" t="s">
        <v>45</v>
      </c>
      <c r="C19" s="401"/>
      <c r="D19" s="401"/>
      <c r="E19" s="401"/>
      <c r="F19" s="401"/>
      <c r="G19" s="401"/>
      <c r="H19" s="401"/>
      <c r="I19" s="401"/>
      <c r="J19" s="401"/>
      <c r="K19" s="401"/>
      <c r="L19" s="401"/>
      <c r="M19" s="402"/>
      <c r="N19" s="344"/>
    </row>
    <row r="20" spans="2:14" ht="62.45" customHeight="1" x14ac:dyDescent="0.25">
      <c r="B20" s="187" t="s">
        <v>46</v>
      </c>
      <c r="C20" s="188" t="s">
        <v>674</v>
      </c>
      <c r="D20" s="183">
        <v>100</v>
      </c>
      <c r="E20" s="183" t="s">
        <v>507</v>
      </c>
      <c r="F20" s="8"/>
      <c r="G20" s="183" t="s">
        <v>1082</v>
      </c>
      <c r="H20" s="64"/>
      <c r="I20" s="416" t="s">
        <v>779</v>
      </c>
      <c r="J20" s="417"/>
      <c r="K20" s="418"/>
      <c r="L20" s="448"/>
      <c r="M20" s="343">
        <f>IF(H20="","0",IF('Customer Information'!$C$18="Yes",(INDEX(References!$N$4:$AA$28,MATCH(B20,References!$N$4:$N$28,0),14)),IF('Customer Information'!$C$18="No",INDEX(References!$N$4:$AA$28,MATCH(B20,References!$N$4:$N$28,0),13))))*F20</f>
        <v>0</v>
      </c>
      <c r="N20" s="344"/>
    </row>
    <row r="21" spans="2:14" ht="42" hidden="1" customHeight="1" x14ac:dyDescent="0.25">
      <c r="B21" s="187" t="s">
        <v>97</v>
      </c>
      <c r="C21" s="188" t="s">
        <v>298</v>
      </c>
      <c r="D21" s="183">
        <v>50</v>
      </c>
      <c r="E21" s="183" t="s">
        <v>507</v>
      </c>
      <c r="F21" s="8"/>
      <c r="G21" s="183" t="s">
        <v>902</v>
      </c>
      <c r="H21" s="8"/>
      <c r="I21" s="419"/>
      <c r="J21" s="420"/>
      <c r="K21" s="421"/>
      <c r="L21" s="449"/>
      <c r="M21" s="182" t="str">
        <f>IF(F21&lt;1," ",F21*D21)</f>
        <v xml:space="preserve"> </v>
      </c>
      <c r="N21" s="344"/>
    </row>
    <row r="22" spans="2:14" ht="81.95" customHeight="1" x14ac:dyDescent="0.25">
      <c r="B22" s="187" t="s">
        <v>98</v>
      </c>
      <c r="C22" s="188" t="s">
        <v>675</v>
      </c>
      <c r="D22" s="183">
        <v>60</v>
      </c>
      <c r="E22" s="183" t="s">
        <v>507</v>
      </c>
      <c r="F22" s="8"/>
      <c r="G22" s="183" t="s">
        <v>1082</v>
      </c>
      <c r="H22" s="64"/>
      <c r="I22" s="419"/>
      <c r="J22" s="420"/>
      <c r="K22" s="421"/>
      <c r="L22" s="449"/>
      <c r="M22" s="343">
        <f>IF(H22="","0",IF('Customer Information'!$C$18="Yes",(INDEX(References!$N$4:$AA$28,MATCH(B22,References!$N$4:$N$28,0),14)),IF('Customer Information'!$C$18="No",INDEX(References!$N$4:$AA$28,MATCH(B22,References!$N$4:$N$28,0),13))))*F22</f>
        <v>0</v>
      </c>
      <c r="N22" s="344"/>
    </row>
    <row r="23" spans="2:14" ht="32.25" hidden="1" customHeight="1" x14ac:dyDescent="0.25">
      <c r="B23" s="187" t="s">
        <v>99</v>
      </c>
      <c r="C23" s="188" t="s">
        <v>47</v>
      </c>
      <c r="D23" s="183">
        <v>40</v>
      </c>
      <c r="E23" s="183" t="s">
        <v>507</v>
      </c>
      <c r="F23" s="8"/>
      <c r="G23" s="248"/>
      <c r="H23" s="249"/>
      <c r="I23" s="422"/>
      <c r="J23" s="423"/>
      <c r="K23" s="424"/>
      <c r="L23" s="450"/>
      <c r="M23" s="182" t="str">
        <f>IF(F23&lt;1," ",F23*D23)</f>
        <v xml:space="preserve"> </v>
      </c>
      <c r="N23" s="344"/>
    </row>
    <row r="24" spans="2:14" ht="15.75" x14ac:dyDescent="0.25">
      <c r="B24" s="400" t="s">
        <v>101</v>
      </c>
      <c r="C24" s="401"/>
      <c r="D24" s="401"/>
      <c r="E24" s="401"/>
      <c r="F24" s="401"/>
      <c r="G24" s="401"/>
      <c r="H24" s="401"/>
      <c r="I24" s="401"/>
      <c r="J24" s="401"/>
      <c r="K24" s="401"/>
      <c r="L24" s="401"/>
      <c r="M24" s="402"/>
      <c r="N24" s="344"/>
    </row>
    <row r="25" spans="2:14" ht="172.5" customHeight="1" x14ac:dyDescent="0.25">
      <c r="B25" s="187" t="s">
        <v>1060</v>
      </c>
      <c r="C25" s="188" t="s">
        <v>676</v>
      </c>
      <c r="D25" s="183">
        <v>500</v>
      </c>
      <c r="E25" s="180" t="s">
        <v>509</v>
      </c>
      <c r="F25" s="8"/>
      <c r="G25" s="180" t="s">
        <v>823</v>
      </c>
      <c r="H25" s="8"/>
      <c r="I25" s="413" t="s">
        <v>782</v>
      </c>
      <c r="J25" s="414"/>
      <c r="K25" s="415"/>
      <c r="L25" s="184"/>
      <c r="M25" s="343">
        <f>IF(F25="","0",IF('Customer Information'!$C$18="Yes",(INDEX(References!$N$4:$AA$28,MATCH(B25,References!$N$4:$N$28,0),14)),IF('Customer Information'!$C$18="No",INDEX(References!$N$4:$AA$28,MATCH(B25,References!$N$4:$N$28,0),13))))*F25</f>
        <v>0</v>
      </c>
      <c r="N25" s="344"/>
    </row>
    <row r="26" spans="2:14" ht="15.75" x14ac:dyDescent="0.25">
      <c r="B26" s="400" t="s">
        <v>821</v>
      </c>
      <c r="C26" s="401"/>
      <c r="D26" s="401"/>
      <c r="E26" s="401"/>
      <c r="F26" s="401"/>
      <c r="G26" s="401"/>
      <c r="H26" s="401"/>
      <c r="I26" s="401"/>
      <c r="J26" s="401"/>
      <c r="K26" s="401"/>
      <c r="L26" s="401"/>
      <c r="M26" s="402"/>
      <c r="N26" s="344"/>
    </row>
    <row r="27" spans="2:14" ht="43.7" customHeight="1" x14ac:dyDescent="0.3">
      <c r="B27" s="187" t="s">
        <v>48</v>
      </c>
      <c r="C27" s="189" t="s">
        <v>515</v>
      </c>
      <c r="D27" s="183">
        <v>110</v>
      </c>
      <c r="E27" s="183" t="s">
        <v>507</v>
      </c>
      <c r="F27" s="8"/>
      <c r="G27" s="460" t="s">
        <v>547</v>
      </c>
      <c r="H27" s="8"/>
      <c r="I27" s="472" t="s">
        <v>486</v>
      </c>
      <c r="J27" s="473"/>
      <c r="K27" s="474"/>
      <c r="L27" s="235"/>
      <c r="M27" s="182">
        <f>IF(H27="","0",IF('Customer Information'!$C$18="Yes",(INDEX(References!$N$4:$AA$28,MATCH(B27,References!$N$4:$N$28,0),14)),IF('Customer Information'!$C$18="No",INDEX(References!$N$4:$AA$28,MATCH(B27,References!$N$4:$N$28,0),13))))*F27</f>
        <v>0</v>
      </c>
      <c r="N27" s="344"/>
    </row>
    <row r="28" spans="2:14" ht="41.1" customHeight="1" x14ac:dyDescent="0.3">
      <c r="B28" s="187" t="s">
        <v>482</v>
      </c>
      <c r="C28" s="188" t="s">
        <v>516</v>
      </c>
      <c r="D28" s="183">
        <v>45</v>
      </c>
      <c r="E28" s="183" t="s">
        <v>507</v>
      </c>
      <c r="F28" s="8"/>
      <c r="G28" s="481"/>
      <c r="H28" s="8"/>
      <c r="I28" s="475"/>
      <c r="J28" s="476"/>
      <c r="K28" s="477"/>
      <c r="L28" s="236"/>
      <c r="M28" s="182">
        <f>IF(H28="","0",IF('Customer Information'!$C$18="Yes",(INDEX(References!$N$4:$AA$28,MATCH(B28,References!$N$4:$N$28,0),14)),IF('Customer Information'!$C$18="No",INDEX(References!$N$4:$AA$28,MATCH(B28,References!$N$4:$N$28,0),13))))*F28</f>
        <v>0</v>
      </c>
      <c r="N28" s="344"/>
    </row>
    <row r="29" spans="2:14" ht="39.6" customHeight="1" x14ac:dyDescent="0.3">
      <c r="B29" s="187" t="s">
        <v>483</v>
      </c>
      <c r="C29" s="188" t="s">
        <v>517</v>
      </c>
      <c r="D29" s="183">
        <v>205</v>
      </c>
      <c r="E29" s="183" t="s">
        <v>507</v>
      </c>
      <c r="F29" s="8"/>
      <c r="G29" s="481"/>
      <c r="H29" s="8"/>
      <c r="I29" s="475"/>
      <c r="J29" s="476"/>
      <c r="K29" s="477"/>
      <c r="L29" s="236"/>
      <c r="M29" s="182">
        <f>IF(H29="","0",IF('Customer Information'!$C$18="Yes",(INDEX(References!$N$4:$AA$28,MATCH(B29,References!$N$4:$N$28,0),14)),IF('Customer Information'!$C$18="No",INDEX(References!$N$4:$AA$28,MATCH(B29,References!$N$4:$N$28,0),13))))*F29</f>
        <v>0</v>
      </c>
      <c r="N29" s="344"/>
    </row>
    <row r="30" spans="2:14" ht="32.25" customHeight="1" x14ac:dyDescent="0.3">
      <c r="B30" s="187" t="s">
        <v>484</v>
      </c>
      <c r="C30" s="188" t="s">
        <v>518</v>
      </c>
      <c r="D30" s="183">
        <v>205</v>
      </c>
      <c r="E30" s="183" t="s">
        <v>507</v>
      </c>
      <c r="F30" s="8"/>
      <c r="G30" s="481"/>
      <c r="H30" s="8"/>
      <c r="I30" s="478"/>
      <c r="J30" s="479"/>
      <c r="K30" s="480"/>
      <c r="L30" s="236"/>
      <c r="M30" s="182">
        <f>IF(H30="","0",IF('Customer Information'!$C$18="Yes",(INDEX(References!$N$4:$AA$28,MATCH(B30,References!$N$4:$N$28,0),14)),IF('Customer Information'!$C$18="No",INDEX(References!$N$4:$AA$28,MATCH(B30,References!$N$4:$N$28,0),13))))*F30</f>
        <v>0</v>
      </c>
      <c r="N30" s="344"/>
    </row>
    <row r="31" spans="2:14" ht="15.75" x14ac:dyDescent="0.25">
      <c r="B31" s="400" t="s">
        <v>822</v>
      </c>
      <c r="C31" s="401"/>
      <c r="D31" s="401"/>
      <c r="E31" s="401"/>
      <c r="F31" s="401"/>
      <c r="G31" s="401"/>
      <c r="H31" s="401"/>
      <c r="I31" s="401"/>
      <c r="J31" s="401"/>
      <c r="K31" s="401"/>
      <c r="L31" s="401"/>
      <c r="M31" s="402"/>
      <c r="N31" s="344"/>
    </row>
    <row r="32" spans="2:14" ht="32.25" customHeight="1" x14ac:dyDescent="0.25">
      <c r="B32" s="404" t="s">
        <v>485</v>
      </c>
      <c r="C32" s="404" t="s">
        <v>519</v>
      </c>
      <c r="D32" s="432">
        <v>125</v>
      </c>
      <c r="E32" s="432" t="s">
        <v>507</v>
      </c>
      <c r="F32" s="439"/>
      <c r="G32" s="245" t="s">
        <v>823</v>
      </c>
      <c r="H32" s="234"/>
      <c r="I32" s="468" t="s">
        <v>486</v>
      </c>
      <c r="J32" s="468"/>
      <c r="K32" s="469"/>
      <c r="L32" s="403"/>
      <c r="M32" s="425">
        <f>IF(F32="","0",IF('Customer Information'!$C$18="Yes",(INDEX(References!$N$4:$AA$28,MATCH(B32,References!$N$4:$N$28,0),14)),IF('Customer Information'!$C$18="No",INDEX(References!$N$4:$AA$28,MATCH(B32,References!$N$4:$N$28,0),13))))*F32</f>
        <v>0</v>
      </c>
      <c r="N32" s="344"/>
    </row>
    <row r="33" spans="2:14" ht="32.25" customHeight="1" x14ac:dyDescent="0.25">
      <c r="B33" s="404"/>
      <c r="C33" s="404"/>
      <c r="D33" s="432"/>
      <c r="E33" s="432"/>
      <c r="F33" s="439"/>
      <c r="G33" s="245" t="s">
        <v>548</v>
      </c>
      <c r="H33" s="234"/>
      <c r="I33" s="470"/>
      <c r="J33" s="470"/>
      <c r="K33" s="471"/>
      <c r="L33" s="403"/>
      <c r="M33" s="427"/>
      <c r="N33" s="344"/>
    </row>
    <row r="34" spans="2:14" ht="15.75" x14ac:dyDescent="0.25">
      <c r="B34" s="400" t="s">
        <v>532</v>
      </c>
      <c r="C34" s="401"/>
      <c r="D34" s="401"/>
      <c r="E34" s="401"/>
      <c r="F34" s="401"/>
      <c r="G34" s="401"/>
      <c r="H34" s="401"/>
      <c r="I34" s="401"/>
      <c r="J34" s="401"/>
      <c r="K34" s="401"/>
      <c r="L34" s="401"/>
      <c r="M34" s="402"/>
      <c r="N34" s="344"/>
    </row>
    <row r="35" spans="2:14" ht="32.25" customHeight="1" x14ac:dyDescent="0.25">
      <c r="B35" s="187" t="s">
        <v>488</v>
      </c>
      <c r="C35" s="189" t="s">
        <v>520</v>
      </c>
      <c r="D35" s="180" t="s">
        <v>498</v>
      </c>
      <c r="E35" s="183" t="s">
        <v>510</v>
      </c>
      <c r="F35" s="8"/>
      <c r="G35" s="433" t="s">
        <v>539</v>
      </c>
      <c r="H35" s="434"/>
      <c r="I35" s="447" t="s">
        <v>783</v>
      </c>
      <c r="J35" s="447"/>
      <c r="K35" s="447"/>
      <c r="L35" s="448"/>
      <c r="M35" s="182">
        <f>IF(F35="","0",IF('Customer Information'!$C$18="Yes",(INDEX(References!$N$4:$AA$28,MATCH(B35,References!$N$4:$N$28,0),14)),IF('Customer Information'!$C$18="No",INDEX(References!$N$4:$AA$28,MATCH(B35,References!$N$4:$N$28,0),13))))*F35</f>
        <v>0</v>
      </c>
      <c r="N35" s="344"/>
    </row>
    <row r="36" spans="2:14" ht="32.25" customHeight="1" x14ac:dyDescent="0.25">
      <c r="B36" s="187" t="s">
        <v>489</v>
      </c>
      <c r="C36" s="188" t="s">
        <v>521</v>
      </c>
      <c r="D36" s="180" t="s">
        <v>499</v>
      </c>
      <c r="E36" s="183" t="s">
        <v>511</v>
      </c>
      <c r="F36" s="8"/>
      <c r="G36" s="435"/>
      <c r="H36" s="436"/>
      <c r="I36" s="447"/>
      <c r="J36" s="447"/>
      <c r="K36" s="447"/>
      <c r="L36" s="449"/>
      <c r="M36" s="182">
        <f>IF(F36="","0",IF('Customer Information'!$C$18="Yes",(INDEX(References!$N$4:$AA$28,MATCH(B36,References!$N$4:$N$28,0),14)),IF('Customer Information'!$C$18="No",INDEX(References!$N$4:$AA$28,MATCH(B36,References!$N$4:$N$28,0),13))))*F36</f>
        <v>0</v>
      </c>
      <c r="N36" s="344"/>
    </row>
    <row r="37" spans="2:14" ht="45.6" customHeight="1" x14ac:dyDescent="0.25">
      <c r="B37" s="187" t="s">
        <v>490</v>
      </c>
      <c r="C37" s="188" t="s">
        <v>522</v>
      </c>
      <c r="D37" s="180" t="s">
        <v>500</v>
      </c>
      <c r="E37" s="183" t="s">
        <v>508</v>
      </c>
      <c r="F37" s="8"/>
      <c r="G37" s="435"/>
      <c r="H37" s="436"/>
      <c r="I37" s="447" t="s">
        <v>784</v>
      </c>
      <c r="J37" s="447"/>
      <c r="K37" s="447"/>
      <c r="L37" s="449"/>
      <c r="M37" s="182">
        <f>IF(F37="","0",IF('Customer Information'!$C$18="Yes",(INDEX(References!$N$4:$AA$28,MATCH(B37,References!$N$4:$N$28,0),14)),IF('Customer Information'!$C$18="No",INDEX(References!$N$4:$AA$28,MATCH(B37,References!$N$4:$N$28,0),13))))*F37</f>
        <v>0</v>
      </c>
      <c r="N37" s="344"/>
    </row>
    <row r="38" spans="2:14" ht="45.95" customHeight="1" x14ac:dyDescent="0.25">
      <c r="B38" s="187" t="s">
        <v>491</v>
      </c>
      <c r="C38" s="188" t="s">
        <v>523</v>
      </c>
      <c r="D38" s="180" t="s">
        <v>500</v>
      </c>
      <c r="E38" s="183" t="s">
        <v>508</v>
      </c>
      <c r="F38" s="8"/>
      <c r="G38" s="435"/>
      <c r="H38" s="436"/>
      <c r="I38" s="447"/>
      <c r="J38" s="447"/>
      <c r="K38" s="447"/>
      <c r="L38" s="449"/>
      <c r="M38" s="182">
        <f>IF(F38="","0",IF('Customer Information'!$C$18="Yes",(INDEX(References!$N$4:$AA$28,MATCH(B38,References!$N$4:$N$28,0),14)),IF('Customer Information'!$C$18="No",INDEX(References!$N$4:$AA$28,MATCH(B38,References!$N$4:$N$28,0),13))))*F38</f>
        <v>0</v>
      </c>
      <c r="N38" s="344"/>
    </row>
    <row r="39" spans="2:14" ht="32.25" customHeight="1" x14ac:dyDescent="0.25">
      <c r="B39" s="187" t="s">
        <v>492</v>
      </c>
      <c r="C39" s="188" t="s">
        <v>524</v>
      </c>
      <c r="D39" s="180" t="s">
        <v>501</v>
      </c>
      <c r="E39" s="183" t="s">
        <v>513</v>
      </c>
      <c r="F39" s="8"/>
      <c r="G39" s="435"/>
      <c r="H39" s="436"/>
      <c r="I39" s="447" t="s">
        <v>786</v>
      </c>
      <c r="J39" s="447"/>
      <c r="K39" s="447"/>
      <c r="L39" s="449"/>
      <c r="M39" s="182">
        <f>IF(F39="","0",IF('Customer Information'!$C$18="Yes",(INDEX(References!$N$4:$AA$28,MATCH(B39,References!$N$4:$N$28,0),14)),IF('Customer Information'!$C$18="No",INDEX(References!$N$4:$AA$28,MATCH(B39,References!$N$4:$N$28,0),13))))*F39</f>
        <v>0</v>
      </c>
      <c r="N39" s="344"/>
    </row>
    <row r="40" spans="2:14" ht="32.25" customHeight="1" x14ac:dyDescent="0.25">
      <c r="B40" s="187" t="s">
        <v>493</v>
      </c>
      <c r="C40" s="188" t="s">
        <v>525</v>
      </c>
      <c r="D40" s="180" t="s">
        <v>501</v>
      </c>
      <c r="E40" s="183" t="s">
        <v>513</v>
      </c>
      <c r="F40" s="8"/>
      <c r="G40" s="435"/>
      <c r="H40" s="436"/>
      <c r="I40" s="447"/>
      <c r="J40" s="447"/>
      <c r="K40" s="447"/>
      <c r="L40" s="449"/>
      <c r="M40" s="182">
        <f>IF(F40="","0",IF('Customer Information'!$C$18="Yes",(INDEX(References!$N$4:$AA$28,MATCH(B40,References!$N$4:$N$28,0),14)),IF('Customer Information'!$C$18="No",INDEX(References!$N$4:$AA$28,MATCH(B40,References!$N$4:$N$28,0),13))))*F40</f>
        <v>0</v>
      </c>
      <c r="N40" s="344"/>
    </row>
    <row r="41" spans="2:14" ht="32.25" customHeight="1" x14ac:dyDescent="0.25">
      <c r="B41" s="187" t="s">
        <v>494</v>
      </c>
      <c r="C41" s="188" t="s">
        <v>526</v>
      </c>
      <c r="D41" s="180" t="s">
        <v>481</v>
      </c>
      <c r="E41" s="183" t="s">
        <v>508</v>
      </c>
      <c r="F41" s="8"/>
      <c r="G41" s="435"/>
      <c r="H41" s="436"/>
      <c r="I41" s="447" t="s">
        <v>785</v>
      </c>
      <c r="J41" s="447"/>
      <c r="K41" s="447"/>
      <c r="L41" s="449"/>
      <c r="M41" s="182">
        <f>IF(F41="","0",IF('Customer Information'!$C$18="Yes",(INDEX(References!$N$4:$AA$28,MATCH(B41,References!$N$4:$N$28,0),14)),IF('Customer Information'!$C$18="No",INDEX(References!$N$4:$AA$28,MATCH(B41,References!$N$4:$N$28,0),13))))*F41</f>
        <v>0</v>
      </c>
      <c r="N41" s="344"/>
    </row>
    <row r="42" spans="2:14" ht="32.25" customHeight="1" x14ac:dyDescent="0.25">
      <c r="B42" s="187" t="s">
        <v>495</v>
      </c>
      <c r="C42" s="188" t="s">
        <v>527</v>
      </c>
      <c r="D42" s="180" t="s">
        <v>481</v>
      </c>
      <c r="E42" s="183" t="s">
        <v>508</v>
      </c>
      <c r="F42" s="8"/>
      <c r="G42" s="435"/>
      <c r="H42" s="436"/>
      <c r="I42" s="447"/>
      <c r="J42" s="447"/>
      <c r="K42" s="447"/>
      <c r="L42" s="449"/>
      <c r="M42" s="182">
        <f>IF(F42="","0",IF('Customer Information'!$C$18="Yes",(INDEX(References!$N$4:$AA$28,MATCH(B42,References!$N$4:$N$28,0),14)),IF('Customer Information'!$C$18="No",INDEX(References!$N$4:$AA$28,MATCH(B42,References!$N$4:$N$28,0),13))))*F42</f>
        <v>0</v>
      </c>
      <c r="N42" s="344"/>
    </row>
    <row r="43" spans="2:14" ht="41.1" customHeight="1" x14ac:dyDescent="0.25">
      <c r="B43" s="187" t="s">
        <v>496</v>
      </c>
      <c r="C43" s="188" t="s">
        <v>528</v>
      </c>
      <c r="D43" s="180" t="s">
        <v>502</v>
      </c>
      <c r="E43" s="183" t="s">
        <v>512</v>
      </c>
      <c r="F43" s="8"/>
      <c r="G43" s="435"/>
      <c r="H43" s="436"/>
      <c r="I43" s="447" t="s">
        <v>780</v>
      </c>
      <c r="J43" s="447"/>
      <c r="K43" s="447"/>
      <c r="L43" s="449"/>
      <c r="M43" s="182">
        <f>IF(F43="","0",IF('Customer Information'!$C$18="Yes",(INDEX(References!$N$4:$AA$28,MATCH(B43,References!$N$4:$N$28,0),14)),IF('Customer Information'!$C$18="No",INDEX(References!$N$4:$AA$28,MATCH(B43,References!$N$4:$N$28,0),13))))*F43</f>
        <v>0</v>
      </c>
      <c r="N43" s="344"/>
    </row>
    <row r="44" spans="2:14" ht="41.45" customHeight="1" x14ac:dyDescent="0.25">
      <c r="B44" s="187" t="s">
        <v>497</v>
      </c>
      <c r="C44" s="188" t="s">
        <v>529</v>
      </c>
      <c r="D44" s="180" t="s">
        <v>502</v>
      </c>
      <c r="E44" s="183" t="s">
        <v>512</v>
      </c>
      <c r="F44" s="8"/>
      <c r="G44" s="435"/>
      <c r="H44" s="436"/>
      <c r="I44" s="447"/>
      <c r="J44" s="447"/>
      <c r="K44" s="447"/>
      <c r="L44" s="449"/>
      <c r="M44" s="182">
        <f>IF(F44="","0",IF('Customer Information'!$C$18="Yes",(INDEX(References!$N$4:$AA$28,MATCH(B44,References!$N$4:$N$28,0),14)),IF('Customer Information'!$C$18="No",INDEX(References!$N$4:$AA$28,MATCH(B44,References!$N$4:$N$28,0),13))))*F44</f>
        <v>0</v>
      </c>
      <c r="N44" s="344"/>
    </row>
    <row r="45" spans="2:14" ht="41.45" customHeight="1" x14ac:dyDescent="0.25">
      <c r="B45" s="187" t="s">
        <v>732</v>
      </c>
      <c r="C45" s="188" t="str">
        <f>"Refrigerator Case Door Gasket - "&amp;B45</f>
        <v>Refrigerator Case Door Gasket - R650</v>
      </c>
      <c r="D45" s="180" t="s">
        <v>696</v>
      </c>
      <c r="E45" s="183" t="s">
        <v>508</v>
      </c>
      <c r="F45" s="8"/>
      <c r="G45" s="435"/>
      <c r="H45" s="436"/>
      <c r="I45" s="447" t="s">
        <v>781</v>
      </c>
      <c r="J45" s="447"/>
      <c r="K45" s="447"/>
      <c r="L45" s="449"/>
      <c r="M45" s="182">
        <f>IF(F45="","0",IF('Customer Information'!$C$18="Yes",(INDEX(References!$N$4:$AA$28,MATCH(B45,References!$N$4:$N$28,0),14)),IF('Customer Information'!$C$18="No",INDEX(References!$N$4:$AA$28,MATCH(B45,References!$N$4:$N$28,0),13))))*F45</f>
        <v>0</v>
      </c>
      <c r="N45" s="344"/>
    </row>
    <row r="46" spans="2:14" ht="41.45" customHeight="1" x14ac:dyDescent="0.25">
      <c r="B46" s="187" t="s">
        <v>733</v>
      </c>
      <c r="C46" s="188" t="str">
        <f>"Freezer Case Door Gasket - "&amp;B46</f>
        <v>Freezer Case Door Gasket - R660</v>
      </c>
      <c r="D46" s="180" t="s">
        <v>697</v>
      </c>
      <c r="E46" s="183" t="s">
        <v>508</v>
      </c>
      <c r="F46" s="8"/>
      <c r="G46" s="437"/>
      <c r="H46" s="438"/>
      <c r="I46" s="447"/>
      <c r="J46" s="447"/>
      <c r="K46" s="447"/>
      <c r="L46" s="450"/>
      <c r="M46" s="182">
        <f>IF(F46="","0",IF('Customer Information'!$C$18="Yes",(INDEX(References!$N$4:$AA$28,MATCH(B46,References!$N$4:$N$28,0),14)),IF('Customer Information'!$C$18="No",INDEX(References!$N$4:$AA$28,MATCH(B46,References!$N$4:$N$28,0),13))))*F46</f>
        <v>0</v>
      </c>
      <c r="N46" s="344"/>
    </row>
    <row r="47" spans="2:14" ht="17.25" thickBot="1" x14ac:dyDescent="0.35">
      <c r="B47" s="445"/>
      <c r="C47" s="446"/>
      <c r="D47" s="446"/>
      <c r="E47" s="446"/>
      <c r="F47" s="446"/>
      <c r="G47" s="446"/>
      <c r="H47" s="446"/>
      <c r="I47" s="446"/>
      <c r="J47" s="446"/>
      <c r="K47" s="282"/>
      <c r="L47" s="190" t="s">
        <v>42</v>
      </c>
      <c r="M47" s="191">
        <f>SUM(M7:M46)</f>
        <v>0</v>
      </c>
      <c r="N47" s="344"/>
    </row>
    <row r="48" spans="2:14" ht="16.5" x14ac:dyDescent="0.3">
      <c r="B48" s="192"/>
      <c r="C48" s="192"/>
      <c r="D48" s="192"/>
      <c r="E48" s="192"/>
      <c r="F48" s="192"/>
      <c r="G48" s="192"/>
      <c r="H48" s="192"/>
      <c r="I48" s="192"/>
      <c r="J48" s="192"/>
      <c r="K48" s="192"/>
      <c r="L48" s="193"/>
      <c r="M48" s="222"/>
    </row>
    <row r="49" spans="2:20" ht="24.95" customHeight="1" x14ac:dyDescent="0.3">
      <c r="B49" s="192"/>
      <c r="C49" s="192"/>
      <c r="D49" s="192"/>
      <c r="E49" s="192"/>
      <c r="F49" s="192"/>
      <c r="G49" s="192"/>
      <c r="H49" s="192"/>
      <c r="I49" s="192"/>
      <c r="J49" s="192"/>
      <c r="K49" s="192"/>
      <c r="L49" s="193"/>
      <c r="M49" s="222"/>
    </row>
    <row r="50" spans="2:20" ht="24.95" hidden="1" customHeight="1" x14ac:dyDescent="0.25">
      <c r="B50" s="442" t="s">
        <v>740</v>
      </c>
      <c r="C50" s="442"/>
      <c r="D50" s="442"/>
      <c r="E50" s="442"/>
      <c r="F50" s="442"/>
      <c r="G50" s="442"/>
      <c r="H50" s="442"/>
      <c r="I50" s="442"/>
      <c r="J50" s="442"/>
      <c r="K50" s="442"/>
      <c r="L50" s="442"/>
      <c r="M50" s="442"/>
      <c r="N50" s="442"/>
      <c r="O50" s="442"/>
      <c r="P50" s="442"/>
      <c r="Q50" s="442"/>
      <c r="R50" s="442"/>
      <c r="S50" s="442"/>
      <c r="T50" s="442"/>
    </row>
    <row r="51" spans="2:20" ht="24.95" hidden="1" customHeight="1" thickBot="1" x14ac:dyDescent="0.35">
      <c r="B51" s="192"/>
      <c r="C51" s="192"/>
      <c r="D51" s="192"/>
      <c r="E51" s="192"/>
      <c r="F51" s="192"/>
      <c r="G51" s="192"/>
      <c r="H51" s="192"/>
      <c r="I51" s="192"/>
      <c r="J51" s="192"/>
      <c r="K51" s="192"/>
      <c r="L51" s="193"/>
      <c r="M51" s="222"/>
    </row>
    <row r="52" spans="2:20" s="227" customFormat="1" ht="39.950000000000003" hidden="1" customHeight="1" thickBot="1" x14ac:dyDescent="0.45">
      <c r="B52" s="223"/>
      <c r="C52" s="223"/>
      <c r="D52" s="440" t="s">
        <v>754</v>
      </c>
      <c r="E52" s="441"/>
      <c r="F52" s="441"/>
      <c r="G52" s="440" t="s">
        <v>741</v>
      </c>
      <c r="H52" s="441"/>
      <c r="I52" s="279" t="s">
        <v>742</v>
      </c>
      <c r="J52" s="224"/>
      <c r="K52" s="224"/>
      <c r="L52" s="225"/>
      <c r="M52" s="226"/>
    </row>
    <row r="53" spans="2:20" s="227" customFormat="1" ht="39.950000000000003" hidden="1" customHeight="1" thickBot="1" x14ac:dyDescent="0.45">
      <c r="B53" s="223"/>
      <c r="C53" s="223"/>
      <c r="D53" s="443">
        <f>SUM(ProposedEquipment0!AV2:AV28)</f>
        <v>0</v>
      </c>
      <c r="E53" s="444"/>
      <c r="F53" s="444"/>
      <c r="G53" s="429">
        <f>SUM(ProposedEquipment0!AY2:AY28)</f>
        <v>0</v>
      </c>
      <c r="H53" s="430"/>
      <c r="I53" s="228">
        <f>SUM(ProposedEquipment0!AZ2:AZ28)</f>
        <v>0</v>
      </c>
      <c r="J53" s="223"/>
      <c r="K53" s="223"/>
      <c r="L53" s="225"/>
      <c r="M53" s="226"/>
    </row>
    <row r="54" spans="2:20" ht="24.95" hidden="1" customHeight="1" x14ac:dyDescent="0.3">
      <c r="B54" s="192"/>
      <c r="C54" s="192"/>
      <c r="D54"/>
      <c r="E54"/>
      <c r="F54"/>
      <c r="G54"/>
      <c r="H54"/>
      <c r="I54" s="192"/>
      <c r="J54" s="192"/>
      <c r="K54" s="192"/>
      <c r="L54" s="193"/>
      <c r="M54" s="222"/>
    </row>
    <row r="55" spans="2:20" ht="16.5" hidden="1" x14ac:dyDescent="0.3">
      <c r="B55" s="192"/>
      <c r="C55" s="192"/>
      <c r="D55" s="192"/>
      <c r="E55" s="192"/>
      <c r="F55" s="192"/>
      <c r="G55" s="192"/>
      <c r="H55" s="192"/>
      <c r="I55" s="192"/>
      <c r="J55" s="192"/>
      <c r="K55" s="192"/>
      <c r="L55" s="193"/>
      <c r="M55" s="222"/>
    </row>
    <row r="56" spans="2:20" ht="16.5" hidden="1" x14ac:dyDescent="0.25">
      <c r="B56" s="192"/>
      <c r="C56" s="192"/>
      <c r="D56" s="431" t="s">
        <v>743</v>
      </c>
      <c r="E56" s="431"/>
      <c r="F56" s="431"/>
      <c r="G56" s="431"/>
      <c r="H56" s="431"/>
      <c r="I56" s="431"/>
      <c r="J56" s="431"/>
      <c r="K56" s="431"/>
      <c r="L56" s="431"/>
      <c r="M56" s="431"/>
      <c r="N56" s="431"/>
      <c r="O56" s="431"/>
      <c r="P56" s="431"/>
      <c r="Q56" s="431"/>
    </row>
    <row r="57" spans="2:20" ht="17.25" hidden="1" thickBot="1" x14ac:dyDescent="0.35">
      <c r="B57" s="192"/>
      <c r="C57" s="192"/>
      <c r="D57" s="192"/>
      <c r="E57" s="192"/>
      <c r="F57" s="192"/>
      <c r="G57" s="192"/>
      <c r="H57" s="192"/>
      <c r="I57" s="192"/>
      <c r="J57" s="192"/>
      <c r="K57" s="192"/>
      <c r="L57" s="193"/>
      <c r="M57" s="222"/>
    </row>
    <row r="58" spans="2:20" ht="36" hidden="1" customHeight="1" x14ac:dyDescent="0.25">
      <c r="C58" s="253"/>
      <c r="D58" s="253"/>
      <c r="E58" s="253"/>
      <c r="F58" s="253"/>
      <c r="G58" s="253"/>
      <c r="H58" s="253"/>
      <c r="I58" s="253"/>
      <c r="J58" s="253"/>
      <c r="K58" s="253"/>
      <c r="L58" s="253"/>
      <c r="M58" s="253"/>
    </row>
    <row r="59" spans="2:20" ht="8.1" customHeight="1" x14ac:dyDescent="0.3">
      <c r="B59" s="192"/>
      <c r="C59" s="192"/>
      <c r="D59" s="192"/>
      <c r="E59" s="192"/>
      <c r="F59" s="192"/>
      <c r="G59" s="192"/>
      <c r="H59" s="192"/>
      <c r="I59" s="192"/>
      <c r="J59" s="102"/>
      <c r="K59" s="102"/>
      <c r="L59" s="193"/>
      <c r="M59" s="194"/>
    </row>
    <row r="60" spans="2:20" x14ac:dyDescent="0.25">
      <c r="M60" s="6"/>
    </row>
    <row r="61" spans="2:20" ht="16.5" x14ac:dyDescent="0.3">
      <c r="B61" s="196" t="s">
        <v>380</v>
      </c>
      <c r="C61" s="196" t="str">
        <f>Development!$B$5&amp;"_"&amp;Development!$B$3</f>
        <v>1.1.25_1.0</v>
      </c>
      <c r="D61" s="197"/>
      <c r="E61" s="198"/>
      <c r="F61" s="199"/>
      <c r="G61" s="199"/>
      <c r="H61" s="199"/>
      <c r="I61" s="199"/>
      <c r="J61" s="198"/>
      <c r="K61" s="198"/>
      <c r="L61" s="200" t="s">
        <v>381</v>
      </c>
      <c r="M61" s="201" t="str">
        <f>Development!$B$5</f>
        <v>1.1.25</v>
      </c>
    </row>
    <row r="62" spans="2:20" x14ac:dyDescent="0.25"/>
    <row r="63" spans="2:20" x14ac:dyDescent="0.25"/>
    <row r="64" spans="2:20" x14ac:dyDescent="0.25"/>
    <row r="65" x14ac:dyDescent="0.25"/>
    <row r="66" x14ac:dyDescent="0.25"/>
    <row r="67" x14ac:dyDescent="0.25"/>
  </sheetData>
  <sheetProtection algorithmName="SHA-512" hashValue="J2+rU2Tci02ht7lVMbpaLpEsGozbGzsjOP0PYhQHJwwx7S4EEZ+1VPp40r33MB6Cdh1a503FcqOsdMgSVM/L/Q==" saltValue="aJEfdL5B4S7Zvi2axQLf6g==" spinCount="100000" sheet="1" objects="1" scenarios="1"/>
  <customSheetViews>
    <customSheetView guid="{413575D0-A88C-4EFD-A604-365F28B09173}" showGridLines="0" fitToPage="1" hiddenRows="1" hiddenColumns="1" state="hidden">
      <pageMargins left="0" right="0" top="0.25" bottom="0.25" header="0.3" footer="0.3"/>
      <pageSetup scale="84" orientation="landscape" r:id="rId1"/>
    </customSheetView>
  </customSheetViews>
  <mergeCells count="58">
    <mergeCell ref="B12:M12"/>
    <mergeCell ref="I32:K33"/>
    <mergeCell ref="I35:K36"/>
    <mergeCell ref="I37:K38"/>
    <mergeCell ref="I39:K40"/>
    <mergeCell ref="B19:M19"/>
    <mergeCell ref="L20:L23"/>
    <mergeCell ref="I20:K23"/>
    <mergeCell ref="I25:K25"/>
    <mergeCell ref="I27:K30"/>
    <mergeCell ref="G27:G30"/>
    <mergeCell ref="B24:M24"/>
    <mergeCell ref="B26:M26"/>
    <mergeCell ref="M32:M33"/>
    <mergeCell ref="C32:C33"/>
    <mergeCell ref="B34:M34"/>
    <mergeCell ref="B3:M3"/>
    <mergeCell ref="B6:M6"/>
    <mergeCell ref="B4:M4"/>
    <mergeCell ref="I5:J5"/>
    <mergeCell ref="B10:B11"/>
    <mergeCell ref="C10:C11"/>
    <mergeCell ref="D10:D11"/>
    <mergeCell ref="B9:M9"/>
    <mergeCell ref="L10:L11"/>
    <mergeCell ref="G7:H8"/>
    <mergeCell ref="L7:L8"/>
    <mergeCell ref="M10:M11"/>
    <mergeCell ref="K10:K11"/>
    <mergeCell ref="I7:K8"/>
    <mergeCell ref="G53:H53"/>
    <mergeCell ref="D56:Q56"/>
    <mergeCell ref="D32:D33"/>
    <mergeCell ref="E32:E33"/>
    <mergeCell ref="G35:H46"/>
    <mergeCell ref="F32:F33"/>
    <mergeCell ref="D52:F52"/>
    <mergeCell ref="G52:H52"/>
    <mergeCell ref="B50:T50"/>
    <mergeCell ref="D53:F53"/>
    <mergeCell ref="B47:J47"/>
    <mergeCell ref="I45:K46"/>
    <mergeCell ref="L35:L46"/>
    <mergeCell ref="I43:K44"/>
    <mergeCell ref="I41:K42"/>
    <mergeCell ref="B31:M31"/>
    <mergeCell ref="L32:L33"/>
    <mergeCell ref="B32:B33"/>
    <mergeCell ref="G13:H13"/>
    <mergeCell ref="B14:M14"/>
    <mergeCell ref="C15:C18"/>
    <mergeCell ref="D15:D18"/>
    <mergeCell ref="F18:H18"/>
    <mergeCell ref="B15:B18"/>
    <mergeCell ref="I13:K13"/>
    <mergeCell ref="I15:K18"/>
    <mergeCell ref="M15:M18"/>
    <mergeCell ref="L15:L18"/>
  </mergeCells>
  <phoneticPr fontId="39" type="noConversion"/>
  <conditionalFormatting sqref="F17">
    <cfRule type="cellIs" dxfId="0" priority="1" stopIfTrue="1" operator="equal">
      <formula>"Calculated hp cannot be less than 1"</formula>
    </cfRule>
  </conditionalFormatting>
  <dataValidations count="19">
    <dataValidation type="whole" operator="greaterThanOrEqual" allowBlank="1" showInputMessage="1" showErrorMessage="1" errorTitle="STOP" error="Entry must be a numerical value" sqref="G14:H14 G12:H12 F32 F16 F20:F23 F25 F35:F46 H21 H27:H30 F27:F30 F12:F14 F10" xr:uid="{00000000-0002-0000-0700-000000000000}">
      <formula1>1</formula1>
    </dataValidation>
    <dataValidation type="whole" operator="greaterThanOrEqual" allowBlank="1" showErrorMessage="1" errorTitle="STOP" error="Entry must be a numerical value" promptTitle="Refrigerated Case Lighting" prompt="Please enter case lighting data on Lighting Worksheet" sqref="F7:F8 F13 F16" xr:uid="{00000000-0002-0000-0700-000001000000}">
      <formula1>1</formula1>
    </dataValidation>
    <dataValidation type="decimal" operator="greaterThanOrEqual" allowBlank="1" showInputMessage="1" showErrorMessage="1" errorTitle="STOP" error="Entry must be a numerical value" sqref="F16 H17" xr:uid="{00000000-0002-0000-0700-000002000000}">
      <formula1>1</formula1>
    </dataValidation>
    <dataValidation operator="greaterThanOrEqual" allowBlank="1" showErrorMessage="1" errorTitle="STOP" error="Entry must be a numerical value" promptTitle="Refrigerated Case Lighting" prompt="Please enter case lighting data on Lighting Worksheet" sqref="F16:F17" xr:uid="{00000000-0002-0000-0700-000003000000}"/>
    <dataValidation type="custom" operator="greaterThanOrEqual" allowBlank="1" showInputMessage="1" showErrorMessage="1" errorTitle="STOP" error="Entry must be a numerical value" sqref="H15" xr:uid="{00000000-0002-0000-0700-000004000000}">
      <formula1>OR(H15=1,H15=3)</formula1>
    </dataValidation>
    <dataValidation type="custom" operator="greaterThanOrEqual" allowBlank="1" showErrorMessage="1" errorTitle="STOP" error="Entry must be a numerical value" promptTitle="Refrigerated Case Lighting" prompt="Please enter case lighting data on Lighting Worksheet" sqref="H15" xr:uid="{00000000-0002-0000-0700-000005000000}">
      <formula1>OR(H15=1,H15=3)</formula1>
    </dataValidation>
    <dataValidation type="decimal" operator="greaterThanOrEqual" allowBlank="1" showInputMessage="1" showErrorMessage="1" errorTitle="STOP" error="Entry must be a numerical value" sqref="H16" xr:uid="{00000000-0002-0000-0700-000006000000}">
      <formula1>0</formula1>
    </dataValidation>
    <dataValidation type="decimal" operator="greaterThanOrEqual" allowBlank="1" showErrorMessage="1" errorTitle="STOP" error="Entry must be a numerical value" promptTitle="Refrigerated Case Lighting" prompt="Please enter case lighting data on Lighting Worksheet" sqref="H16" xr:uid="{00000000-0002-0000-0700-000007000000}">
      <formula1>0</formula1>
    </dataValidation>
    <dataValidation type="decimal" operator="greaterThanOrEqual" allowBlank="1" showErrorMessage="1" errorTitle="STOP" error="Entry must be a numerical value" promptTitle="Refrigerated Case Lighting" prompt="Please enter case lighting data on Lighting Worksheet" sqref="H17" xr:uid="{00000000-0002-0000-0700-000008000000}">
      <formula1>1</formula1>
    </dataValidation>
    <dataValidation type="list" allowBlank="1" showInputMessage="1" showErrorMessage="1" sqref="F15" xr:uid="{00000000-0002-0000-0700-000009000000}">
      <formula1>$N$15:$N$17</formula1>
    </dataValidation>
    <dataValidation type="list" operator="greaterThanOrEqual" allowBlank="1" showErrorMessage="1" errorTitle="STOP" error="Entry must be a numerical value" promptTitle="Refrigerated Case Lighting" prompt="Please enter case lighting data on Lighting Worksheet" sqref="F18:H18" xr:uid="{00000000-0002-0000-0700-00000A000000}">
      <formula1>Floating_System_Type</formula1>
    </dataValidation>
    <dataValidation type="list" operator="greaterThanOrEqual" allowBlank="1" showInputMessage="1" showErrorMessage="1" errorTitle="STOP" error="Entry must be a numerical value" sqref="H32" xr:uid="{00000000-0002-0000-0700-00000B000000}">
      <formula1>System_Type_IceMaker</formula1>
    </dataValidation>
    <dataValidation type="list" allowBlank="1" showInputMessage="1" showErrorMessage="1" sqref="H10" xr:uid="{00000000-0002-0000-0700-00000C000000}">
      <formula1>EvapFan_CaseType</formula1>
    </dataValidation>
    <dataValidation type="list" allowBlank="1" showInputMessage="1" showErrorMessage="1" sqref="H11" xr:uid="{00000000-0002-0000-0700-00000D000000}">
      <formula1>EvapFan_MotorType</formula1>
    </dataValidation>
    <dataValidation operator="greaterThan" allowBlank="1" showInputMessage="1" showErrorMessage="1" errorTitle="STOP" error="Entry must be a numerical value" sqref="F11" xr:uid="{00000000-0002-0000-0700-00000E000000}"/>
    <dataValidation type="list" operator="greaterThanOrEqual" allowBlank="1" showInputMessage="1" showErrorMessage="1" errorTitle="STOP" error="Entry must be a numerical value" sqref="H25" xr:uid="{00000000-0002-0000-0700-00000F000000}">
      <formula1>ANtiSweat_Controlled</formula1>
    </dataValidation>
    <dataValidation type="decimal" operator="greaterThanOrEqual" allowBlank="1" showInputMessage="1" showErrorMessage="1" errorTitle="STOP" error="Entry must be a numerical value" sqref="H20 H22" xr:uid="{00000000-0002-0000-0700-000010000000}">
      <formula1>0.001</formula1>
    </dataValidation>
    <dataValidation type="decimal" operator="greaterThanOrEqual" allowBlank="1" showInputMessage="1" showErrorMessage="1" sqref="J11" xr:uid="{ACE161F5-260B-474D-AC74-A58DE69AEFFA}">
      <formula1>0.05</formula1>
    </dataValidation>
    <dataValidation type="whole" operator="greaterThanOrEqual" allowBlank="1" showInputMessage="1" showErrorMessage="1" sqref="J10" xr:uid="{A225F0C6-1924-47FF-A858-7A0EA1CAE4B5}">
      <formula1>1</formula1>
    </dataValidation>
  </dataValidations>
  <printOptions horizontalCentered="1" verticalCentered="1"/>
  <pageMargins left="0" right="0" top="0.25" bottom="0.25" header="0.3" footer="0.3"/>
  <pageSetup scale="25" orientation="landscape"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extLst>
    <ext xmlns:x14="http://schemas.microsoft.com/office/spreadsheetml/2009/9/main" uri="{CCE6A557-97BC-4b89-ADB6-D9C93CAAB3DF}">
      <x14:dataValidations xmlns:xm="http://schemas.microsoft.com/office/excel/2006/main" count="1">
        <x14:dataValidation type="list" operator="greaterThanOrEqual" allowBlank="1" showInputMessage="1" showErrorMessage="1" errorTitle="STOP" error="Entry must be a numerical value" xr:uid="{53E927A7-DBF4-413A-8C8C-B557BF41619F}">
          <x14:formula1>
            <xm:f>OFFSET(References!$G$57,0,MATCH($H$32,System_Type_IceMaker,0)-1,5)</xm:f>
          </x14:formula1>
          <xm:sqref>H33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theme="8" tint="-0.249977111117893"/>
    <pageSetUpPr fitToPage="1"/>
  </sheetPr>
  <dimension ref="A1:V45"/>
  <sheetViews>
    <sheetView showGridLines="0" zoomScaleNormal="100" workbookViewId="0"/>
  </sheetViews>
  <sheetFormatPr defaultColWidth="0" defaultRowHeight="15" zeroHeight="1" x14ac:dyDescent="0.25"/>
  <cols>
    <col min="1" max="1" width="3.5703125" style="130" customWidth="1"/>
    <col min="2" max="2" width="26.28515625" style="130" customWidth="1"/>
    <col min="3" max="3" width="23.85546875" style="130" customWidth="1"/>
    <col min="4" max="4" width="28.85546875" style="130" customWidth="1"/>
    <col min="5" max="5" width="31.140625" style="130" bestFit="1" customWidth="1"/>
    <col min="6" max="6" width="14.85546875" style="130" customWidth="1"/>
    <col min="7" max="7" width="23.42578125" style="130" customWidth="1"/>
    <col min="8" max="8" width="24.42578125" style="130" customWidth="1"/>
    <col min="9" max="9" width="3.5703125" style="130" customWidth="1"/>
    <col min="10" max="10" width="18.5703125" style="130" customWidth="1"/>
    <col min="11" max="11" width="18.85546875" style="130" customWidth="1"/>
    <col min="12" max="14" width="8.85546875" style="130" customWidth="1"/>
    <col min="15" max="16384" width="0" style="130" hidden="1"/>
  </cols>
  <sheetData>
    <row r="1" spans="1:22" ht="30" x14ac:dyDescent="0.25">
      <c r="A1" s="266"/>
      <c r="B1" s="265" t="str">
        <f>Development!A1</f>
        <v>2025 Commercial Efficiency Program</v>
      </c>
      <c r="C1" s="266"/>
      <c r="D1" s="266"/>
      <c r="E1" s="266"/>
      <c r="F1" s="266"/>
      <c r="G1" s="268"/>
      <c r="H1" s="268"/>
      <c r="I1" s="268"/>
      <c r="J1" s="268"/>
      <c r="K1" s="268"/>
      <c r="L1" s="268"/>
      <c r="M1" s="268"/>
      <c r="N1" s="268"/>
    </row>
    <row r="2" spans="1:22" ht="27" x14ac:dyDescent="0.25">
      <c r="A2" s="266"/>
      <c r="B2" s="266"/>
      <c r="C2" s="266"/>
      <c r="D2" s="266"/>
      <c r="E2" s="266"/>
      <c r="F2" s="266"/>
      <c r="G2" s="268"/>
      <c r="H2" s="268"/>
      <c r="I2" s="268"/>
      <c r="J2" s="268"/>
      <c r="K2" s="268"/>
      <c r="L2" s="268"/>
      <c r="M2" s="268"/>
      <c r="N2" s="268"/>
    </row>
    <row r="3" spans="1:22" ht="28.5" thickBot="1" x14ac:dyDescent="0.3">
      <c r="A3" s="266"/>
      <c r="B3" s="267" t="str">
        <f>"Refrigeration Inspection Form "&amp;Development!B4&amp;" version - "&amp;Development!B3</f>
        <v>Refrigeration Inspection Form 2025 version - 1.0</v>
      </c>
      <c r="C3" s="266"/>
      <c r="D3" s="266"/>
      <c r="E3" s="266"/>
      <c r="F3" s="266"/>
      <c r="G3" s="268"/>
      <c r="H3" s="268"/>
      <c r="I3" s="268"/>
      <c r="J3" s="268"/>
      <c r="K3" s="268"/>
      <c r="L3" s="268"/>
      <c r="M3" s="268"/>
      <c r="N3" s="268"/>
    </row>
    <row r="4" spans="1:22" ht="17.25" thickTop="1" x14ac:dyDescent="0.3">
      <c r="A4" s="229"/>
      <c r="B4" s="229"/>
      <c r="C4" s="229"/>
      <c r="D4" s="229"/>
      <c r="E4" s="229"/>
      <c r="F4" s="229"/>
      <c r="G4" s="229"/>
      <c r="H4" s="229"/>
      <c r="I4" s="229"/>
      <c r="J4" s="229"/>
      <c r="K4" s="229"/>
      <c r="L4" s="229"/>
      <c r="M4" s="229"/>
      <c r="N4" s="229"/>
    </row>
    <row r="5" spans="1:22" ht="15.75" x14ac:dyDescent="0.25">
      <c r="B5" s="202" t="s">
        <v>471</v>
      </c>
      <c r="C5" s="491" t="str">
        <f>IF('Customer Information'!L40="","",'Customer Information'!L40)</f>
        <v/>
      </c>
      <c r="D5" s="491"/>
      <c r="E5" s="203"/>
      <c r="F5" s="203"/>
      <c r="G5" s="492" t="s">
        <v>397</v>
      </c>
      <c r="H5" s="493"/>
      <c r="I5" s="493"/>
      <c r="J5" s="493"/>
      <c r="K5" s="493"/>
      <c r="L5" s="493"/>
      <c r="M5" s="494"/>
      <c r="N5" s="204"/>
      <c r="O5" s="205"/>
    </row>
    <row r="6" spans="1:22" ht="16.5" x14ac:dyDescent="0.3">
      <c r="B6" s="202"/>
      <c r="C6" s="202"/>
      <c r="D6" s="203"/>
      <c r="E6" s="203"/>
      <c r="F6" s="203"/>
      <c r="G6" s="206"/>
      <c r="H6" s="203"/>
      <c r="I6" s="203"/>
      <c r="J6" s="203"/>
      <c r="K6" s="203"/>
      <c r="L6" s="203"/>
      <c r="M6" s="203"/>
      <c r="N6" s="207"/>
      <c r="O6" s="91"/>
    </row>
    <row r="7" spans="1:22" ht="18" customHeight="1" x14ac:dyDescent="0.25">
      <c r="B7" s="202" t="s">
        <v>391</v>
      </c>
      <c r="C7" s="491" t="str">
        <f>IF('Customer Information'!C6:F6="","",'Customer Information'!C6:F6)</f>
        <v/>
      </c>
      <c r="D7" s="491"/>
      <c r="E7" s="203"/>
      <c r="F7" s="203"/>
      <c r="G7" s="208" t="s">
        <v>398</v>
      </c>
      <c r="H7" s="89"/>
      <c r="I7" s="203"/>
      <c r="J7" s="202" t="s">
        <v>399</v>
      </c>
      <c r="K7" s="487"/>
      <c r="L7" s="487"/>
      <c r="M7" s="488"/>
      <c r="N7" s="209"/>
    </row>
    <row r="8" spans="1:22" ht="18" customHeight="1" x14ac:dyDescent="0.25">
      <c r="B8" s="202" t="s">
        <v>392</v>
      </c>
      <c r="C8" s="484" t="str">
        <f>IF('Customer Information'!C7:F7="","",'Customer Information'!C7:F7)</f>
        <v/>
      </c>
      <c r="D8" s="484"/>
      <c r="E8" s="203"/>
      <c r="F8" s="203"/>
      <c r="G8" s="210"/>
      <c r="H8" s="203"/>
      <c r="I8" s="203"/>
      <c r="J8" s="203"/>
      <c r="K8" s="211"/>
      <c r="L8" s="211"/>
      <c r="M8" s="211"/>
      <c r="N8" s="209"/>
    </row>
    <row r="9" spans="1:22" ht="18" customHeight="1" x14ac:dyDescent="0.25">
      <c r="B9" s="202" t="s">
        <v>396</v>
      </c>
      <c r="C9" s="484" t="str">
        <f>IF('Customer Information'!I7="","",'Customer Information'!I7)</f>
        <v/>
      </c>
      <c r="D9" s="484"/>
      <c r="E9" s="203"/>
      <c r="F9" s="203"/>
      <c r="G9" s="208" t="s">
        <v>400</v>
      </c>
      <c r="H9" s="89"/>
      <c r="I9" s="203"/>
      <c r="J9" s="202" t="s">
        <v>19</v>
      </c>
      <c r="K9" s="487"/>
      <c r="L9" s="487"/>
      <c r="M9" s="488"/>
      <c r="N9" s="209"/>
    </row>
    <row r="10" spans="1:22" ht="18" customHeight="1" x14ac:dyDescent="0.25">
      <c r="B10" s="202" t="s">
        <v>393</v>
      </c>
      <c r="C10" s="484" t="str">
        <f>IF('Customer Information'!C10="","",'Customer Information'!C10)</f>
        <v/>
      </c>
      <c r="D10" s="484"/>
      <c r="E10" s="203"/>
      <c r="F10" s="203"/>
      <c r="G10" s="210"/>
      <c r="H10" s="203"/>
      <c r="I10" s="203"/>
      <c r="J10" s="203"/>
      <c r="K10" s="203"/>
      <c r="L10" s="203"/>
      <c r="M10" s="203"/>
      <c r="N10" s="209"/>
    </row>
    <row r="11" spans="1:22" ht="18" customHeight="1" x14ac:dyDescent="0.25">
      <c r="B11" s="202" t="s">
        <v>394</v>
      </c>
      <c r="C11" s="489" t="str">
        <f>IF('Customer Information'!K9="","",'Customer Information'!K9)</f>
        <v/>
      </c>
      <c r="D11" s="489"/>
      <c r="E11" s="203"/>
      <c r="F11" s="203"/>
      <c r="G11" s="208" t="s">
        <v>401</v>
      </c>
      <c r="H11" s="89"/>
      <c r="I11" s="203"/>
      <c r="J11" s="202" t="s">
        <v>402</v>
      </c>
      <c r="K11" s="487"/>
      <c r="L11" s="487"/>
      <c r="M11" s="488"/>
      <c r="N11" s="209"/>
    </row>
    <row r="12" spans="1:22" ht="18" customHeight="1" x14ac:dyDescent="0.3">
      <c r="B12" s="202" t="s">
        <v>395</v>
      </c>
      <c r="C12" s="489" t="str">
        <f>IF('Customer Information'!K10="","",'Customer Information'!K10)</f>
        <v/>
      </c>
      <c r="D12" s="489"/>
      <c r="E12" s="203"/>
      <c r="F12" s="203"/>
      <c r="G12" s="212"/>
      <c r="H12" s="213"/>
      <c r="I12" s="213"/>
      <c r="J12" s="213"/>
      <c r="K12" s="213"/>
      <c r="L12" s="213"/>
      <c r="M12" s="213"/>
      <c r="N12" s="207"/>
      <c r="O12" s="91"/>
    </row>
    <row r="13" spans="1:22" ht="18" customHeight="1" x14ac:dyDescent="0.25">
      <c r="B13" s="202" t="s">
        <v>14</v>
      </c>
      <c r="C13" s="484" t="str">
        <f>IF(References!E47="","",References!E47)</f>
        <v/>
      </c>
      <c r="D13" s="484"/>
      <c r="E13" s="203"/>
      <c r="F13" s="203"/>
      <c r="G13" s="203"/>
      <c r="H13" s="203"/>
      <c r="I13" s="203"/>
      <c r="J13" s="203"/>
      <c r="K13" s="203"/>
      <c r="L13" s="203"/>
      <c r="M13" s="203"/>
    </row>
    <row r="14" spans="1:22" ht="20.100000000000001" customHeight="1" x14ac:dyDescent="0.25">
      <c r="B14" s="230" t="s">
        <v>796</v>
      </c>
      <c r="C14" s="490"/>
      <c r="D14" s="490"/>
      <c r="E14" s="203"/>
      <c r="F14" s="203"/>
      <c r="G14" s="203"/>
      <c r="H14" s="203"/>
      <c r="I14" s="203"/>
      <c r="J14" s="203"/>
      <c r="K14" s="203"/>
      <c r="L14" s="203"/>
      <c r="M14" s="203"/>
    </row>
    <row r="15" spans="1:22" ht="20.25" x14ac:dyDescent="0.25">
      <c r="B15" s="214"/>
      <c r="C15" s="215"/>
      <c r="D15" s="215"/>
      <c r="E15" s="215"/>
      <c r="F15" s="215"/>
      <c r="G15" s="215"/>
      <c r="H15" s="215"/>
      <c r="I15" s="215"/>
      <c r="J15" s="215"/>
      <c r="K15" s="215"/>
      <c r="L15" s="215"/>
      <c r="M15" s="215"/>
      <c r="N15" s="214"/>
      <c r="O15" s="214"/>
      <c r="P15" s="214"/>
      <c r="Q15" s="214"/>
      <c r="R15" s="214"/>
      <c r="S15" s="214"/>
      <c r="T15" s="214"/>
      <c r="U15" s="214"/>
      <c r="V15" s="214"/>
    </row>
    <row r="16" spans="1:22" s="219" customFormat="1" ht="27" customHeight="1" x14ac:dyDescent="0.25">
      <c r="B16" s="216"/>
      <c r="C16" s="216"/>
      <c r="D16" s="217"/>
      <c r="E16" s="217"/>
      <c r="F16" s="218"/>
      <c r="G16" s="217"/>
      <c r="H16" s="217"/>
      <c r="I16" s="218"/>
      <c r="J16" s="217"/>
      <c r="K16" s="216"/>
      <c r="L16" s="216"/>
      <c r="M16" s="216"/>
    </row>
    <row r="17" spans="2:13" ht="15.75" x14ac:dyDescent="0.25">
      <c r="B17" s="280" t="s">
        <v>403</v>
      </c>
      <c r="C17" s="496" t="s">
        <v>43</v>
      </c>
      <c r="D17" s="496"/>
      <c r="E17" s="280" t="s">
        <v>40</v>
      </c>
      <c r="F17" s="280" t="s">
        <v>349</v>
      </c>
      <c r="G17" s="280" t="s">
        <v>390</v>
      </c>
      <c r="H17" s="281" t="s">
        <v>388</v>
      </c>
      <c r="I17" s="203"/>
      <c r="J17" s="495" t="s">
        <v>389</v>
      </c>
      <c r="K17" s="495"/>
      <c r="L17" s="495"/>
      <c r="M17" s="495"/>
    </row>
    <row r="18" spans="2:13" ht="16.5" x14ac:dyDescent="0.25">
      <c r="B18" s="32"/>
      <c r="C18" s="482" t="str">
        <f>IF(Worksheet!F7="","",Worksheet!C7)</f>
        <v/>
      </c>
      <c r="D18" s="482"/>
      <c r="E18" s="220" t="str">
        <f>IF(Worksheet!F7="","",Worksheet!F7&amp;" fixture(s)")</f>
        <v/>
      </c>
      <c r="F18" s="90"/>
      <c r="G18" s="90"/>
      <c r="H18" s="90"/>
      <c r="I18" s="203"/>
      <c r="J18" s="483"/>
      <c r="K18" s="483"/>
      <c r="L18" s="483"/>
      <c r="M18" s="483"/>
    </row>
    <row r="19" spans="2:13" ht="16.5" x14ac:dyDescent="0.25">
      <c r="B19" s="32"/>
      <c r="C19" s="482" t="str">
        <f>IF(Worksheet!F8="","",Worksheet!C8)</f>
        <v/>
      </c>
      <c r="D19" s="482"/>
      <c r="E19" s="220" t="str">
        <f>IF(Worksheet!F8="","",Worksheet!F8&amp;" fixture(s)")</f>
        <v/>
      </c>
      <c r="F19" s="90"/>
      <c r="G19" s="90"/>
      <c r="H19" s="90"/>
      <c r="I19" s="203"/>
      <c r="J19" s="90"/>
      <c r="K19" s="90"/>
      <c r="L19" s="90"/>
      <c r="M19" s="90"/>
    </row>
    <row r="20" spans="2:13" ht="16.5" x14ac:dyDescent="0.25">
      <c r="B20" s="32"/>
      <c r="C20" s="482" t="str">
        <f>IF(Worksheet!F10="","",Worksheet!C10)</f>
        <v/>
      </c>
      <c r="D20" s="482"/>
      <c r="E20" s="220" t="str">
        <f>IF(Worksheet!F10="","",Worksheet!F10&amp;" "&amp;Worksheet!E10)</f>
        <v/>
      </c>
      <c r="F20" s="90"/>
      <c r="G20" s="90"/>
      <c r="H20" s="90"/>
      <c r="I20" s="203"/>
      <c r="J20" s="483"/>
      <c r="K20" s="483"/>
      <c r="L20" s="483"/>
      <c r="M20" s="483"/>
    </row>
    <row r="21" spans="2:13" ht="16.5" x14ac:dyDescent="0.25">
      <c r="B21" s="32"/>
      <c r="C21" s="482" t="str">
        <f>IF(Worksheet!F13="","",Worksheet!C13)</f>
        <v/>
      </c>
      <c r="D21" s="482"/>
      <c r="E21" s="220" t="str">
        <f>IF(Worksheet!F13="","",Worksheet!F13&amp;" linear feet")</f>
        <v/>
      </c>
      <c r="F21" s="90"/>
      <c r="G21" s="90"/>
      <c r="H21" s="90"/>
      <c r="I21" s="203"/>
      <c r="J21" s="483"/>
      <c r="K21" s="483"/>
      <c r="L21" s="483"/>
      <c r="M21" s="483"/>
    </row>
    <row r="22" spans="2:13" ht="16.5" x14ac:dyDescent="0.25">
      <c r="B22" s="32"/>
      <c r="C22" s="482" t="str">
        <f>IF(Worksheet!M15="","",Worksheet!C15)</f>
        <v>Floating Head Pressure Controls - R220</v>
      </c>
      <c r="D22" s="482"/>
      <c r="E22" s="220" t="e">
        <f>IF(References!$J$86=3,IF(Worksheet!H17="","",ROUND(Worksheet!H17,2)&amp;" hp"),IF(ISNUMBER(Worksheet!F17),ROUND(Worksheet!F17,2)&amp;" hp",""))</f>
        <v>#N/A</v>
      </c>
      <c r="F22" s="90"/>
      <c r="G22" s="90"/>
      <c r="H22" s="90"/>
      <c r="I22" s="203"/>
      <c r="J22" s="483"/>
      <c r="K22" s="483"/>
      <c r="L22" s="483"/>
      <c r="M22" s="483"/>
    </row>
    <row r="23" spans="2:13" ht="16.5" x14ac:dyDescent="0.25">
      <c r="B23" s="33"/>
      <c r="C23" s="485" t="str">
        <f>IF(Worksheet!F20="","",Worksheet!C20)</f>
        <v/>
      </c>
      <c r="D23" s="486"/>
      <c r="E23" s="220" t="str">
        <f>IF(Worksheet!F20="","",Worksheet!F20&amp;" unit(s)")</f>
        <v/>
      </c>
      <c r="F23" s="33"/>
      <c r="G23" s="90"/>
      <c r="H23" s="90"/>
      <c r="I23" s="203"/>
      <c r="J23" s="483"/>
      <c r="K23" s="483"/>
      <c r="L23" s="483"/>
      <c r="M23" s="483"/>
    </row>
    <row r="24" spans="2:13" ht="20.100000000000001" hidden="1" customHeight="1" x14ac:dyDescent="0.3">
      <c r="B24" s="34"/>
      <c r="C24" s="485" t="str">
        <f>IF(Worksheet!F21="","",Worksheet!C21)</f>
        <v/>
      </c>
      <c r="D24" s="486"/>
      <c r="E24" s="220" t="str">
        <f>IF(Worksheet!F21="","",Worksheet!F21)</f>
        <v/>
      </c>
      <c r="F24" s="34"/>
      <c r="G24" s="90"/>
      <c r="H24" s="90"/>
      <c r="I24" s="203"/>
      <c r="J24" s="483"/>
      <c r="K24" s="483"/>
      <c r="L24" s="483"/>
      <c r="M24" s="483"/>
    </row>
    <row r="25" spans="2:13" ht="20.100000000000001" customHeight="1" x14ac:dyDescent="0.3">
      <c r="B25" s="34"/>
      <c r="C25" s="485" t="str">
        <f>IF(Worksheet!F22="","",Worksheet!C22)</f>
        <v/>
      </c>
      <c r="D25" s="486"/>
      <c r="E25" s="220" t="str">
        <f>IF(Worksheet!F22="","",Worksheet!F22&amp;" unit(s)")</f>
        <v/>
      </c>
      <c r="F25" s="34"/>
      <c r="G25" s="90"/>
      <c r="H25" s="90"/>
      <c r="I25" s="203"/>
      <c r="J25" s="483"/>
      <c r="K25" s="483"/>
      <c r="L25" s="483"/>
      <c r="M25" s="483"/>
    </row>
    <row r="26" spans="2:13" ht="20.100000000000001" hidden="1" customHeight="1" x14ac:dyDescent="0.3">
      <c r="B26" s="34"/>
      <c r="C26" s="485" t="str">
        <f>IF(Worksheet!F23="","",Worksheet!C23)</f>
        <v/>
      </c>
      <c r="D26" s="486"/>
      <c r="E26" s="220" t="str">
        <f>IF(Worksheet!F23="","",Worksheet!F23)</f>
        <v/>
      </c>
      <c r="F26" s="34"/>
      <c r="G26" s="90"/>
      <c r="H26" s="90"/>
      <c r="I26" s="203"/>
      <c r="J26" s="483"/>
      <c r="K26" s="483"/>
      <c r="L26" s="483"/>
      <c r="M26" s="483"/>
    </row>
    <row r="27" spans="2:13" ht="16.5" x14ac:dyDescent="0.3">
      <c r="B27" s="34"/>
      <c r="C27" s="482" t="str">
        <f>IF(Worksheet!F25="","",Worksheet!C25)</f>
        <v/>
      </c>
      <c r="D27" s="482"/>
      <c r="E27" s="220" t="str">
        <f>IF(Worksheet!F25="","",Worksheet!F25&amp;" "&amp;Worksheet!E25)</f>
        <v/>
      </c>
      <c r="F27" s="34"/>
      <c r="G27" s="90"/>
      <c r="H27" s="90"/>
      <c r="I27" s="203"/>
      <c r="J27" s="483"/>
      <c r="K27" s="483"/>
      <c r="L27" s="483"/>
      <c r="M27" s="483"/>
    </row>
    <row r="28" spans="2:13" ht="16.5" x14ac:dyDescent="0.3">
      <c r="B28" s="34"/>
      <c r="C28" s="482" t="str">
        <f>IF(Worksheet!F27="","",Worksheet!C27)</f>
        <v/>
      </c>
      <c r="D28" s="482"/>
      <c r="E28" s="220" t="str">
        <f>IF(Worksheet!F27="","",Worksheet!F27&amp;" unit(s)")</f>
        <v/>
      </c>
      <c r="F28" s="34"/>
      <c r="G28" s="90"/>
      <c r="H28" s="90"/>
      <c r="I28" s="203"/>
      <c r="J28" s="483"/>
      <c r="K28" s="483"/>
      <c r="L28" s="483"/>
      <c r="M28" s="483"/>
    </row>
    <row r="29" spans="2:13" ht="16.5" x14ac:dyDescent="0.3">
      <c r="B29" s="34"/>
      <c r="C29" s="482" t="str">
        <f>IF(Worksheet!F28="","",Worksheet!C28)</f>
        <v/>
      </c>
      <c r="D29" s="482"/>
      <c r="E29" s="220" t="str">
        <f>IF(Worksheet!F28="","",Worksheet!F28&amp;" unit(s)")</f>
        <v/>
      </c>
      <c r="F29" s="34"/>
      <c r="G29" s="90"/>
      <c r="H29" s="90"/>
      <c r="I29" s="203"/>
      <c r="J29" s="483"/>
      <c r="K29" s="483"/>
      <c r="L29" s="483"/>
      <c r="M29" s="483"/>
    </row>
    <row r="30" spans="2:13" ht="16.5" x14ac:dyDescent="0.3">
      <c r="B30" s="34"/>
      <c r="C30" s="482" t="str">
        <f>IF(Worksheet!F29="","",Worksheet!C29)</f>
        <v/>
      </c>
      <c r="D30" s="482"/>
      <c r="E30" s="220" t="str">
        <f>IF(Worksheet!F29="","",Worksheet!F29&amp;" unit(s)")</f>
        <v/>
      </c>
      <c r="F30" s="34"/>
      <c r="G30" s="90"/>
      <c r="H30" s="90"/>
      <c r="I30" s="203"/>
      <c r="J30" s="483"/>
      <c r="K30" s="483"/>
      <c r="L30" s="483"/>
      <c r="M30" s="483"/>
    </row>
    <row r="31" spans="2:13" ht="16.5" x14ac:dyDescent="0.3">
      <c r="B31" s="34"/>
      <c r="C31" s="482" t="str">
        <f>IF(Worksheet!F30="","",Worksheet!C30)</f>
        <v/>
      </c>
      <c r="D31" s="482"/>
      <c r="E31" s="220" t="str">
        <f>IF(Worksheet!F30="","",Worksheet!F30&amp;" unit(s)")</f>
        <v/>
      </c>
      <c r="F31" s="34"/>
      <c r="G31" s="90"/>
      <c r="H31" s="90"/>
      <c r="I31" s="203"/>
      <c r="J31" s="483"/>
      <c r="K31" s="483"/>
      <c r="L31" s="483"/>
      <c r="M31" s="483"/>
    </row>
    <row r="32" spans="2:13" ht="16.5" x14ac:dyDescent="0.3">
      <c r="B32" s="34"/>
      <c r="C32" s="482" t="str">
        <f>IF(Worksheet!F32="","",Worksheet!C32)</f>
        <v/>
      </c>
      <c r="D32" s="482"/>
      <c r="E32" s="220" t="str">
        <f>IF(Worksheet!F32="","",Worksheet!F32&amp;" unit(s)")</f>
        <v/>
      </c>
      <c r="F32" s="34"/>
      <c r="G32" s="90"/>
      <c r="H32" s="90"/>
      <c r="I32" s="203"/>
      <c r="J32" s="483"/>
      <c r="K32" s="483"/>
      <c r="L32" s="483"/>
      <c r="M32" s="483"/>
    </row>
    <row r="33" spans="2:13" ht="16.5" x14ac:dyDescent="0.3">
      <c r="B33" s="34"/>
      <c r="C33" s="482" t="str">
        <f>IF(Worksheet!F35="","",Worksheet!C35)</f>
        <v/>
      </c>
      <c r="D33" s="482"/>
      <c r="E33" s="220" t="str">
        <f>IF(Worksheet!F35="","",Worksheet!F35&amp;" door(s)")</f>
        <v/>
      </c>
      <c r="F33" s="34"/>
      <c r="G33" s="90"/>
      <c r="H33" s="90"/>
      <c r="I33" s="203"/>
      <c r="J33" s="483"/>
      <c r="K33" s="483"/>
      <c r="L33" s="483"/>
      <c r="M33" s="483"/>
    </row>
    <row r="34" spans="2:13" ht="16.5" x14ac:dyDescent="0.3">
      <c r="B34" s="34"/>
      <c r="C34" s="482" t="str">
        <f>IF(Worksheet!F36="","",Worksheet!C36)</f>
        <v/>
      </c>
      <c r="D34" s="482"/>
      <c r="E34" s="220" t="str">
        <f>IF(Worksheet!F36="","",Worksheet!F36&amp;" unti(s)")</f>
        <v/>
      </c>
      <c r="F34" s="34"/>
      <c r="G34" s="90"/>
      <c r="H34" s="90"/>
      <c r="I34" s="203"/>
      <c r="J34" s="483"/>
      <c r="K34" s="483"/>
      <c r="L34" s="483"/>
      <c r="M34" s="483"/>
    </row>
    <row r="35" spans="2:13" ht="16.5" x14ac:dyDescent="0.3">
      <c r="B35" s="34"/>
      <c r="C35" s="482" t="str">
        <f>IF(Worksheet!F37="","",Worksheet!C37)</f>
        <v/>
      </c>
      <c r="D35" s="482"/>
      <c r="E35" s="220" t="str">
        <f>IF(Worksheet!F37="","",Worksheet!F37&amp;" linear feet")</f>
        <v/>
      </c>
      <c r="F35" s="34"/>
      <c r="G35" s="90"/>
      <c r="H35" s="90"/>
      <c r="I35" s="203"/>
      <c r="J35" s="483"/>
      <c r="K35" s="483"/>
      <c r="L35" s="483"/>
      <c r="M35" s="483"/>
    </row>
    <row r="36" spans="2:13" ht="16.5" x14ac:dyDescent="0.3">
      <c r="B36" s="34"/>
      <c r="C36" s="482" t="str">
        <f>IF(Worksheet!F38="","",Worksheet!C38)</f>
        <v/>
      </c>
      <c r="D36" s="482"/>
      <c r="E36" s="220" t="str">
        <f>IF(Worksheet!F38="","",Worksheet!F38&amp;" linear feet")</f>
        <v/>
      </c>
      <c r="F36" s="34"/>
      <c r="G36" s="90"/>
      <c r="H36" s="90"/>
      <c r="I36" s="203"/>
      <c r="J36" s="483"/>
      <c r="K36" s="483"/>
      <c r="L36" s="483"/>
      <c r="M36" s="483"/>
    </row>
    <row r="37" spans="2:13" ht="16.5" x14ac:dyDescent="0.3">
      <c r="B37" s="34"/>
      <c r="C37" s="482" t="str">
        <f>IF(Worksheet!F39="","",Worksheet!C39)</f>
        <v/>
      </c>
      <c r="D37" s="482"/>
      <c r="E37" s="220" t="str">
        <f>IF(Worksheet!F39="","",Worksheet!F39&amp;" sq. ft. of door")</f>
        <v/>
      </c>
      <c r="F37" s="34"/>
      <c r="G37" s="90"/>
      <c r="H37" s="90"/>
      <c r="I37" s="203"/>
      <c r="J37" s="483"/>
      <c r="K37" s="483"/>
      <c r="L37" s="483"/>
      <c r="M37" s="483"/>
    </row>
    <row r="38" spans="2:13" ht="16.5" x14ac:dyDescent="0.3">
      <c r="B38" s="34"/>
      <c r="C38" s="482" t="str">
        <f>IF(Worksheet!F40="","",Worksheet!C40)</f>
        <v/>
      </c>
      <c r="D38" s="482"/>
      <c r="E38" s="220" t="str">
        <f>IF(Worksheet!F40="","",Worksheet!F40&amp;" sq. ft. of door")</f>
        <v/>
      </c>
      <c r="F38" s="34"/>
      <c r="G38" s="90"/>
      <c r="H38" s="90"/>
      <c r="I38" s="203"/>
      <c r="J38" s="483"/>
      <c r="K38" s="483"/>
      <c r="L38" s="483"/>
      <c r="M38" s="483"/>
    </row>
    <row r="39" spans="2:13" ht="16.5" x14ac:dyDescent="0.3">
      <c r="B39" s="34"/>
      <c r="C39" s="482" t="str">
        <f>IF(Worksheet!F41="","",Worksheet!C41)</f>
        <v/>
      </c>
      <c r="D39" s="482"/>
      <c r="E39" s="220" t="str">
        <f>IF(Worksheet!F41="","",Worksheet!F41&amp;" linear feet")</f>
        <v/>
      </c>
      <c r="F39" s="34"/>
      <c r="G39" s="90"/>
      <c r="H39" s="90"/>
      <c r="I39" s="203"/>
      <c r="J39" s="483"/>
      <c r="K39" s="483"/>
      <c r="L39" s="483"/>
      <c r="M39" s="483"/>
    </row>
    <row r="40" spans="2:13" ht="16.5" x14ac:dyDescent="0.3">
      <c r="B40" s="34"/>
      <c r="C40" s="482" t="str">
        <f>IF(Worksheet!F42="","",Worksheet!C42)</f>
        <v/>
      </c>
      <c r="D40" s="482"/>
      <c r="E40" s="220" t="str">
        <f>IF(Worksheet!F42="","",Worksheet!F42&amp;" linear feet")</f>
        <v/>
      </c>
      <c r="F40" s="34"/>
      <c r="G40" s="90"/>
      <c r="H40" s="90"/>
      <c r="I40" s="203"/>
      <c r="J40" s="483"/>
      <c r="K40" s="483"/>
      <c r="L40" s="483"/>
      <c r="M40" s="483"/>
    </row>
    <row r="41" spans="2:13" ht="16.5" x14ac:dyDescent="0.3">
      <c r="B41" s="34"/>
      <c r="C41" s="482" t="str">
        <f>IF(Worksheet!F43="","",Worksheet!C43)</f>
        <v/>
      </c>
      <c r="D41" s="482"/>
      <c r="E41" s="220" t="str">
        <f>IF(Worksheet!F43="","",Worksheet!F43&amp;" closer(s)")</f>
        <v/>
      </c>
      <c r="F41" s="34"/>
      <c r="G41" s="90"/>
      <c r="H41" s="90"/>
      <c r="I41" s="203"/>
      <c r="J41" s="483"/>
      <c r="K41" s="483"/>
      <c r="L41" s="483"/>
      <c r="M41" s="483"/>
    </row>
    <row r="42" spans="2:13" ht="16.5" x14ac:dyDescent="0.3">
      <c r="B42" s="34"/>
      <c r="C42" s="482" t="str">
        <f>IF(Worksheet!F44="","",Worksheet!C44)</f>
        <v/>
      </c>
      <c r="D42" s="482"/>
      <c r="E42" s="220" t="str">
        <f>IF(Worksheet!F44="","",Worksheet!F44&amp;" closer(s)")</f>
        <v/>
      </c>
      <c r="F42" s="34"/>
      <c r="G42" s="90"/>
      <c r="H42" s="90"/>
      <c r="I42" s="203"/>
      <c r="J42" s="483"/>
      <c r="K42" s="483"/>
      <c r="L42" s="483"/>
      <c r="M42" s="483"/>
    </row>
    <row r="43" spans="2:13" ht="16.5" x14ac:dyDescent="0.3">
      <c r="B43" s="34"/>
      <c r="C43" s="482" t="str">
        <f>IF(Worksheet!F45="","",Worksheet!C45)</f>
        <v/>
      </c>
      <c r="D43" s="482"/>
      <c r="E43" s="220" t="str">
        <f>IF(Worksheet!F45="","",Worksheet!F45&amp;" linear feet")</f>
        <v/>
      </c>
      <c r="F43" s="34"/>
      <c r="G43" s="90"/>
      <c r="H43" s="90"/>
      <c r="I43" s="203"/>
      <c r="J43" s="483"/>
      <c r="K43" s="483"/>
      <c r="L43" s="483"/>
      <c r="M43" s="483"/>
    </row>
    <row r="44" spans="2:13" ht="16.5" x14ac:dyDescent="0.3">
      <c r="B44" s="34"/>
      <c r="C44" s="482" t="str">
        <f>IF(Worksheet!F46="","",Worksheet!C46)</f>
        <v/>
      </c>
      <c r="D44" s="482"/>
      <c r="E44" s="220" t="str">
        <f>IF(Worksheet!F46="","",Worksheet!F46&amp;" linear feet")</f>
        <v/>
      </c>
      <c r="F44" s="34"/>
      <c r="G44" s="90"/>
      <c r="H44" s="90"/>
      <c r="I44" s="203"/>
      <c r="J44" s="483"/>
      <c r="K44" s="483"/>
      <c r="L44" s="483"/>
      <c r="M44" s="483"/>
    </row>
    <row r="45" spans="2:13" x14ac:dyDescent="0.25"/>
  </sheetData>
  <sheetProtection password="A202" sheet="1"/>
  <mergeCells count="68">
    <mergeCell ref="C43:D43"/>
    <mergeCell ref="J43:M43"/>
    <mergeCell ref="C44:D44"/>
    <mergeCell ref="J44:M44"/>
    <mergeCell ref="C5:D5"/>
    <mergeCell ref="G5:M5"/>
    <mergeCell ref="C7:D7"/>
    <mergeCell ref="C8:D8"/>
    <mergeCell ref="K11:M11"/>
    <mergeCell ref="J17:M17"/>
    <mergeCell ref="C9:D9"/>
    <mergeCell ref="K7:M7"/>
    <mergeCell ref="C24:D24"/>
    <mergeCell ref="C25:D25"/>
    <mergeCell ref="C26:D26"/>
    <mergeCell ref="C17:D17"/>
    <mergeCell ref="K9:M9"/>
    <mergeCell ref="C10:D10"/>
    <mergeCell ref="C11:D11"/>
    <mergeCell ref="C12:D12"/>
    <mergeCell ref="C14:D14"/>
    <mergeCell ref="C27:D27"/>
    <mergeCell ref="J23:M23"/>
    <mergeCell ref="J24:M24"/>
    <mergeCell ref="J25:M25"/>
    <mergeCell ref="J26:M26"/>
    <mergeCell ref="J27:M27"/>
    <mergeCell ref="C23:D23"/>
    <mergeCell ref="J21:M21"/>
    <mergeCell ref="C22:D22"/>
    <mergeCell ref="J22:M22"/>
    <mergeCell ref="C13:D13"/>
    <mergeCell ref="C20:D20"/>
    <mergeCell ref="C21:D21"/>
    <mergeCell ref="C18:D18"/>
    <mergeCell ref="J18:M18"/>
    <mergeCell ref="J20:M20"/>
    <mergeCell ref="C19:D19"/>
    <mergeCell ref="C40:D40"/>
    <mergeCell ref="J40:M40"/>
    <mergeCell ref="C41:D41"/>
    <mergeCell ref="J41:M41"/>
    <mergeCell ref="C42:D42"/>
    <mergeCell ref="J42:M42"/>
    <mergeCell ref="C37:D37"/>
    <mergeCell ref="J37:M37"/>
    <mergeCell ref="C38:D38"/>
    <mergeCell ref="J38:M38"/>
    <mergeCell ref="C39:D39"/>
    <mergeCell ref="J39:M39"/>
    <mergeCell ref="C34:D34"/>
    <mergeCell ref="J34:M34"/>
    <mergeCell ref="C35:D35"/>
    <mergeCell ref="J35:M35"/>
    <mergeCell ref="C36:D36"/>
    <mergeCell ref="J36:M36"/>
    <mergeCell ref="C31:D31"/>
    <mergeCell ref="J31:M31"/>
    <mergeCell ref="C32:D32"/>
    <mergeCell ref="J32:M32"/>
    <mergeCell ref="C33:D33"/>
    <mergeCell ref="J33:M33"/>
    <mergeCell ref="C28:D28"/>
    <mergeCell ref="J28:M28"/>
    <mergeCell ref="C29:D29"/>
    <mergeCell ref="J29:M29"/>
    <mergeCell ref="C30:D30"/>
    <mergeCell ref="J30:M30"/>
  </mergeCells>
  <pageMargins left="0.7" right="0.7" top="0.75" bottom="0.75" header="0.3" footer="0.3"/>
  <pageSetup scale="59" orientation="landscape"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9252" r:id="rId4" name="Check Box 484">
              <controlPr defaultSize="0" autoFill="0" autoLine="0" autoPict="0">
                <anchor moveWithCells="1">
                  <from>
                    <xdr:col>6</xdr:col>
                    <xdr:colOff>171450</xdr:colOff>
                    <xdr:row>12</xdr:row>
                    <xdr:rowOff>514350</xdr:rowOff>
                  </from>
                  <to>
                    <xdr:col>7</xdr:col>
                    <xdr:colOff>0</xdr:colOff>
                    <xdr:row>13</xdr:row>
                    <xdr:rowOff>571500</xdr:rowOff>
                  </to>
                </anchor>
              </controlPr>
            </control>
          </mc:Choice>
        </mc:AlternateContent>
        <mc:AlternateContent xmlns:mc="http://schemas.openxmlformats.org/markup-compatibility/2006">
          <mc:Choice Requires="x14">
            <control shapeId="289253" r:id="rId5" name="Check Box 485">
              <controlPr defaultSize="0" autoFill="0" autoLine="0" autoPict="0">
                <anchor moveWithCells="1">
                  <from>
                    <xdr:col>6</xdr:col>
                    <xdr:colOff>171450</xdr:colOff>
                    <xdr:row>13</xdr:row>
                    <xdr:rowOff>857250</xdr:rowOff>
                  </from>
                  <to>
                    <xdr:col>7</xdr:col>
                    <xdr:colOff>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ProposedEquipment0</vt:lpstr>
      <vt:lpstr>Customer Information</vt:lpstr>
      <vt:lpstr>Terms and Conditions</vt:lpstr>
      <vt:lpstr>Guidelines</vt:lpstr>
      <vt:lpstr>Required Documents</vt:lpstr>
      <vt:lpstr>Worksheet</vt:lpstr>
      <vt:lpstr>ANtiSweat_Controlled</vt:lpstr>
      <vt:lpstr>as</vt:lpstr>
      <vt:lpstr>Blddg_Type</vt:lpstr>
      <vt:lpstr>Bldg_Type</vt:lpstr>
      <vt:lpstr>Building_Type</vt:lpstr>
      <vt:lpstr>DAC</vt:lpstr>
      <vt:lpstr>EB_NC</vt:lpstr>
      <vt:lpstr>EvapFan_CaseType</vt:lpstr>
      <vt:lpstr>EvapFan_MotorType</vt:lpstr>
      <vt:lpstr>Floating_System_Type</vt:lpstr>
      <vt:lpstr>Import_EB</vt:lpstr>
      <vt:lpstr>Org_Type</vt:lpstr>
      <vt:lpstr>'Customer Information'!Print_Area</vt:lpstr>
      <vt:lpstr>Guidelines!Print_Area</vt:lpstr>
      <vt:lpstr>Inspection!Print_Area</vt:lpstr>
      <vt:lpstr>'Required Documents'!Print_Area</vt:lpstr>
      <vt:lpstr>'Terms and Conditions'!Print_Area</vt:lpstr>
      <vt:lpstr>Worksheet!Print_Area</vt:lpstr>
      <vt:lpstr>Project_Type</vt:lpstr>
      <vt:lpstr>Rebate_Payment</vt:lpstr>
      <vt:lpstr>Refrigeration_Tab</vt:lpstr>
      <vt:lpstr>System_Type_IceMaker</vt:lpstr>
      <vt:lpstr>VFD_Tab</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EDean@trccompanies.com</dc:creator>
  <cp:keywords>Unrestricted</cp:keywords>
  <cp:lastModifiedBy>Boyce, Shawn</cp:lastModifiedBy>
  <cp:lastPrinted>2016-03-14T14:45:13Z</cp:lastPrinted>
  <dcterms:created xsi:type="dcterms:W3CDTF">2011-10-21T14:14:31Z</dcterms:created>
  <dcterms:modified xsi:type="dcterms:W3CDTF">2024-12-27T16:18:20Z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US\e379152</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ies>
</file>