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trlProps/ctrlProp17.xml" ContentType="application/vnd.ms-excel.controlproperties+xml"/>
  <Override PartName="/xl/drawings/drawing8.xml" ContentType="application/vnd.openxmlformats-officedocument.drawing+xml"/>
  <Override PartName="/xl/ctrlProps/ctrlProp18.xml" ContentType="application/vnd.ms-excel.controlproperties+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9.xml" ContentType="application/vnd.ms-excel.controlproperties+xml"/>
  <Override PartName="/xl/comments2.xml" ContentType="application/vnd.openxmlformats-officedocument.spreadsheetml.comments+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1.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2.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1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HVAC\"/>
    </mc:Choice>
  </mc:AlternateContent>
  <xr:revisionPtr revIDLastSave="0" documentId="13_ncr:1_{3266AB4C-247C-4CE7-89E6-C410A5B436D8}" xr6:coauthVersionLast="47" xr6:coauthVersionMax="47" xr10:uidLastSave="{00000000-0000-0000-0000-000000000000}"/>
  <workbookProtection workbookAlgorithmName="SHA-512" workbookHashValue="MiCG2npR5UmK230tOXlprMDxwwBGqI81wge+PilO1mzE1kWaBwMNSAc8Odk6mgZJeam/9RedZA/bxTamEUj/iQ==" workbookSaltValue="fRWbvmEn5f2EcQeo1FS+2Q==" workbookSpinCount="100000" lockStructure="1"/>
  <bookViews>
    <workbookView xWindow="28680" yWindow="1140" windowWidth="29040" windowHeight="15840" tabRatio="599" xr2:uid="{00000000-000D-0000-FFFF-FFFF00000000}"/>
  </bookViews>
  <sheets>
    <sheet name="Instructions" sheetId="1" r:id="rId1"/>
    <sheet name="Customer Information" sheetId="15" r:id="rId2"/>
    <sheet name="Terms and Conditions" sheetId="16" r:id="rId3"/>
    <sheet name="Guidelines" sheetId="17" r:id="rId4"/>
    <sheet name="Required Documents" sheetId="18" r:id="rId5"/>
    <sheet name="Eligibility Table" sheetId="14" r:id="rId6"/>
    <sheet name="HVAC Worksheet" sheetId="2" r:id="rId7"/>
    <sheet name="Ventilation" sheetId="23" r:id="rId8"/>
    <sheet name="Whole Building ccASHP Worksheet" sheetId="20" state="veryHidden" r:id="rId9"/>
    <sheet name="Inspection Form" sheetId="13" state="veryHidden" r:id="rId10"/>
    <sheet name="ccASHP Inspection Form" sheetId="21" state="hidden" r:id="rId11"/>
    <sheet name="ERV-HRV Inspection Form" sheetId="24" state="hidden" r:id="rId12"/>
    <sheet name="HVLS Inspection Form" sheetId="25" state="hidden" r:id="rId13"/>
    <sheet name="Summary" sheetId="9" r:id="rId14"/>
    <sheet name="Calculations" sheetId="6" state="veryHidden" r:id="rId15"/>
    <sheet name="ProposedEquipment0" sheetId="11" state="veryHidden" r:id="rId16"/>
    <sheet name="HVAC Types" sheetId="12" state="veryHidden" r:id="rId17"/>
    <sheet name="Old Summary" sheetId="3" state="veryHidden" r:id="rId18"/>
    <sheet name="Development" sheetId="8" state="veryHidden" r:id="rId19"/>
    <sheet name="References" sheetId="7" state="veryHidden" r:id="rId20"/>
    <sheet name="CEE Comparison" sheetId="10" state="veryHidden" r:id="rId21"/>
  </sheets>
  <externalReferences>
    <externalReference r:id="rId22"/>
    <externalReference r:id="rId23"/>
    <externalReference r:id="rId24"/>
    <externalReference r:id="rId25"/>
    <externalReference r:id="rId26"/>
    <externalReference r:id="rId27"/>
  </externalReferences>
  <definedNames>
    <definedName name="Account_Name" localSheetId="7">Ventilation!$C$8</definedName>
    <definedName name="Account_Name" localSheetId="8">'Whole Building ccASHP Worksheet'!$C$6</definedName>
    <definedName name="Additional_Incentive">[1]References!$R$4:$R$11</definedName>
    <definedName name="Application_Code" localSheetId="3">[2]References!$N$19:$S$19</definedName>
    <definedName name="Application_Code" localSheetId="4">[2]References!$N$19:$S$19</definedName>
    <definedName name="Application_Code" localSheetId="2">[3]References!$N$19:$S$19</definedName>
    <definedName name="Application_Code">[1]References!$M$19:$R$19</definedName>
    <definedName name="Blddg_Type" localSheetId="3">[2]References!$B$49:$B$61</definedName>
    <definedName name="Blddg_Type" localSheetId="4">[2]References!$B$49:$B$61</definedName>
    <definedName name="Blddg_Type" localSheetId="2">[3]References!$B$49:$B$61</definedName>
    <definedName name="Blddg_Type">[1]References!$B$49:$B$61</definedName>
    <definedName name="Building_Type" localSheetId="3">[2]References!$G$49:$G$61</definedName>
    <definedName name="Building_Type" localSheetId="4">[2]References!$G$49:$G$61</definedName>
    <definedName name="Building_Type" localSheetId="2">[3]References!$G$49:$G$61</definedName>
    <definedName name="Building_Type">[1]References!$G$49:$G$61</definedName>
    <definedName name="BuildingType" localSheetId="10">'[4]Customer Inputs'!$R$5</definedName>
    <definedName name="BuildingType" localSheetId="11">'[4]Customer Inputs'!$R$5</definedName>
    <definedName name="BuildingType" localSheetId="12">'[4]Customer Inputs'!$R$5</definedName>
    <definedName name="BuildingType" localSheetId="9">'[4]Customer Inputs'!$R$5</definedName>
    <definedName name="BuildingType" localSheetId="7">Ventilation!$G$8</definedName>
    <definedName name="BuildingType" localSheetId="8">'Whole Building ccASHP Worksheet'!$S$13</definedName>
    <definedName name="BuildingType">'HVAC Worksheet'!$G$7</definedName>
    <definedName name="BuildingType_List">References!$G$21:$G$81</definedName>
    <definedName name="Chiller_Type" localSheetId="10">'[1]Chiller EB'!$B$12:$B$14,'[1]Chiller EB'!#REF!</definedName>
    <definedName name="Chiller_Type" localSheetId="3">#REF!,#REF!</definedName>
    <definedName name="Chiller_Type" localSheetId="4">#REF!,#REF!</definedName>
    <definedName name="Chiller_Type" localSheetId="2">#REF!,#REF!</definedName>
    <definedName name="Chiller_Type" localSheetId="8">'[1]Chiller EB'!$B$12:$B$14,'[1]Chiller EB'!#REF!</definedName>
    <definedName name="Chiller_Type">'[1]Chiller EB'!$B$12:$B$14,'[1]Chiller EB'!#REF!</definedName>
    <definedName name="Code_Table">References!$AG$4:$AH$74</definedName>
    <definedName name="Cust_Building_Type">References!$B$62:$B$75</definedName>
    <definedName name="Customer_Info" localSheetId="7">Ventilation!$C$8:$E$13,Ventilation!$G$8:$J$12</definedName>
    <definedName name="Customer_Info" localSheetId="8">'Whole Building ccASHP Worksheet'!$C$6:$E$11,'Whole Building ccASHP Worksheet'!$G$6:$I$11</definedName>
    <definedName name="CustomerInfo" localSheetId="10">'[4]Customer Inputs'!$C$5:$I$9,'[4]Customer Inputs'!$M$5,'[4]Customer Inputs'!$M$7:$M$9</definedName>
    <definedName name="CustomerInfo" localSheetId="11">'[4]Customer Inputs'!$C$5:$I$9,'[4]Customer Inputs'!$M$5,'[4]Customer Inputs'!$M$7:$M$9</definedName>
    <definedName name="CustomerInfo" localSheetId="12">'[4]Customer Inputs'!$C$5:$I$9,'[4]Customer Inputs'!$M$5,'[4]Customer Inputs'!$M$7:$M$9</definedName>
    <definedName name="CustomerInfo" localSheetId="9">'[4]Customer Inputs'!$C$5:$I$9,'[4]Customer Inputs'!$M$5,'[4]Customer Inputs'!$M$7:$M$9</definedName>
    <definedName name="CustomerInfo" localSheetId="7">Ventilation!$C$8:$E$13,Ventilation!$G$8:$J$12</definedName>
    <definedName name="CustomerInfo" localSheetId="8">'Whole Building ccASHP Worksheet'!$C$6:$E$11,'Whole Building ccASHP Worksheet'!$G$6:$I$11</definedName>
    <definedName name="CustomerInputs" localSheetId="7">Ventilation!$A$1:$AG$1</definedName>
    <definedName name="CustomerInputs" localSheetId="8">'Whole Building ccASHP Worksheet'!$A$1:$AI$1</definedName>
    <definedName name="Equipment_Info" localSheetId="7">Ventilation!#REF!,Ventilation!#REF!,Ventilation!#REF!,Ventilation!#REF!,Ventilation!#REF!</definedName>
    <definedName name="Equipment_Info" localSheetId="8">'Whole Building ccASHP Worksheet'!$B$20:$B$44,'Whole Building ccASHP Worksheet'!$F$20:$M$44,'Whole Building ccASHP Worksheet'!$P$20:$Q$44,'Whole Building ccASHP Worksheet'!$S$20:$T$44,'Whole Building ccASHP Worksheet'!$X$20:$Y$44,'Whole Building ccASHP Worksheet'!$AB$20:$AF$44,'Whole Building ccASHP Worksheet'!$B$15,'Whole Building ccASHP Worksheet'!$F$15:$K$15</definedName>
    <definedName name="Equipment_Type">[1]References!$I$4:$I$11</definedName>
    <definedName name="EquipmentTypeEE">References!$D$21:$D$33</definedName>
    <definedName name="EquipmentTypeNC">References!$E$21:$E$32</definedName>
    <definedName name="EquipTypeDD" localSheetId="8">'Whole Building ccASHP Worksheet'!$B$20:$B$44</definedName>
    <definedName name="ERVHRV_Info">Ventilation!$B$20:$C$29,Ventilation!$E$20:$H$29,Ventilation!$K$20:$L$29,Ventilation!$O$20:$U$29</definedName>
    <definedName name="Existing_FanType">References!$J$161:$J$164</definedName>
    <definedName name="ExistingEquipToggleCI" localSheetId="8">'Whole Building ccASHP Worksheet'!$X$17:$AG$44</definedName>
    <definedName name="ExistingUnitInventory" localSheetId="8">'Whole Building ccASHP Worksheet'!$X$20:$AE$44</definedName>
    <definedName name="ExistingUnitType">References!$T$4:$T$44</definedName>
    <definedName name="Fan_BuildingType">References!$H$149:$H$150</definedName>
    <definedName name="Fan_Info">Ventilation!$B$36:$C$45,Ventilation!$E$36:$H$45,Ventilation!$K$36:$L$45,Ventilation!$O$36:$R$45</definedName>
    <definedName name="FanType">References!$G$149:$G$157</definedName>
    <definedName name="Full_Load">[1]References!$O$4:$O$11</definedName>
    <definedName name="HeaderTopCI" localSheetId="7">Ventilation!$B$2:$AF$3</definedName>
    <definedName name="HeaderTopCI" localSheetId="8">'Whole Building ccASHP Worksheet'!$B$2:$AH$3</definedName>
    <definedName name="HeadingsCI" localSheetId="7">Ventilation!#REF!,Ventilation!#REF!,Ventilation!#REF!</definedName>
    <definedName name="HeadingsCI" localSheetId="8">'Whole Building ccASHP Worksheet'!$B$17:$N$18,'Whole Building ccASHP Worksheet'!$AH$17:$AI$18,'Whole Building ccASHP Worksheet'!$S$17:$U$18</definedName>
    <definedName name="HeadingsSY">Summary!$B$5:$E$5,Summary!$H$5:$K$5,Summary!$B$95</definedName>
    <definedName name="HVAC_Equipment_Info">'HVAC Worksheet'!$B$17:$C$41,'HVAC Worksheet'!$E$17:$M$41,'HVAC Worksheet'!$O$17:$P$41,'HVAC Worksheet'!$T$17:$U$41,'HVAC Worksheet'!$W$17:$AB$41</definedName>
    <definedName name="HVAC_T1T2ReferenceTable">References!$AY$4:$BO$44</definedName>
    <definedName name="HVACInventory" localSheetId="7">Ventilation!#REF!,Ventilation!#REF!,Ventilation!#REF!</definedName>
    <definedName name="HVACInventory" localSheetId="8">'Whole Building ccASHP Worksheet'!$B$20:$N$44,'Whole Building ccASHP Worksheet'!$S$20:$T$44,'Whole Building ccASHP Worksheet'!$X$20:$AE$44</definedName>
    <definedName name="Import_HVAC">ProposedEquipment0!$A$1:$AO$26</definedName>
    <definedName name="Incentive_ton">[1]References!$Q$4:$Q$11</definedName>
    <definedName name="IPLV">[1]References!$P$4:$P$11</definedName>
    <definedName name="Manufacturer2">References!$F$21:$F$114</definedName>
    <definedName name="ManufacturerList">References!$F$21:$F$78</definedName>
    <definedName name="OLE_LINK1" localSheetId="1">'Customer Information'!$A$3</definedName>
    <definedName name="Org_Type">References!$B$54:$B$58</definedName>
    <definedName name="_xlnm.Print_Area" localSheetId="1">'Customer Information'!$A$1:$Q$51</definedName>
    <definedName name="_xlnm.Print_Area" localSheetId="3">Guidelines!$A$1:$L$56</definedName>
    <definedName name="_xlnm.Print_Area" localSheetId="0">Instructions!$1:$34</definedName>
    <definedName name="_xlnm.Print_Area" localSheetId="4">'Required Documents'!$A$1:$T$59</definedName>
    <definedName name="_xlnm.Print_Area" localSheetId="2">'Terms and Conditions'!$A$1:$K$79</definedName>
    <definedName name="Size_Table">References!$K$21:$M$32</definedName>
    <definedName name="SizeCategory">References!$D$10:$R$10</definedName>
    <definedName name="Start_Baseline_Code" localSheetId="3">[2]References!$N$20</definedName>
    <definedName name="Start_Baseline_Code" localSheetId="4">[2]References!$N$20</definedName>
    <definedName name="Start_Baseline_Code" localSheetId="2">[3]References!$N$20</definedName>
    <definedName name="Start_Baseline_Code">[1]References!$M$20</definedName>
    <definedName name="Start_ExistingUnitType">References!$Z$4:$AC$42</definedName>
    <definedName name="Start_SizeCategory">References!$D$11</definedName>
    <definedName name="Start_SubCategory">References!$D$4</definedName>
    <definedName name="SubCategory">References!$D$3:$R$3</definedName>
    <definedName name="SummaryRow">Summary!$C$6:$C$73</definedName>
    <definedName name="T0_ReferenceTable">References!$AN$4:$AW$59</definedName>
    <definedName name="T1T2_ReferenceTable">References!$AY$4:$BO$44</definedName>
    <definedName name="TandC_Tab" localSheetId="10">[1]References!#REF!</definedName>
    <definedName name="TandC_Tab" localSheetId="3">[2]References!#REF!</definedName>
    <definedName name="TandC_Tab" localSheetId="4">[2]References!#REF!</definedName>
    <definedName name="TandC_Tab" localSheetId="2">[3]References!#REF!</definedName>
    <definedName name="TandC_Tab" localSheetId="8">[1]References!#REF!</definedName>
    <definedName name="TandC_Tab">[1]References!#REF!</definedName>
    <definedName name="Thermal_Storage_Equipment" localSheetId="3">[2]References!$J$26:$J$28</definedName>
    <definedName name="Thermal_Storage_Equipment" localSheetId="4">[2]References!$J$26:$J$28</definedName>
    <definedName name="Thermal_Storage_Equipment" localSheetId="2">[3]References!$J$26:$J$28</definedName>
    <definedName name="Thermal_Storage_Equipment">[1]References!$I$26:$I$28</definedName>
    <definedName name="Unit_Data" localSheetId="3">#REF!</definedName>
    <definedName name="Unit_Data" localSheetId="4">#REF!</definedName>
    <definedName name="Unit_Data2" localSheetId="3">#REF!</definedName>
    <definedName name="Unit_Data2" localSheetId="4">#REF!</definedName>
    <definedName name="Vent_Equipment_Info" localSheetId="7">Ventilation!$B$20:$H$29,Ventilation!$K$20:$L$29,Ventilation!$O$20:$U$29,Ventilation!$B$36:$H$45,Ventilation!$K$36:$L$45,Ventilation!$O$36:$R$45</definedName>
    <definedName name="Ventilation_AirCooledUnit">References!$D$170:$E$174</definedName>
    <definedName name="Ventilation_Heating_Equipment">References!$D$183:$E$187</definedName>
    <definedName name="Ventilation_IEERLookup">References!$D$190:$E$201</definedName>
    <definedName name="Ventilation_lookup">References!$D$189:$E$201</definedName>
    <definedName name="Ventilation_SEER_Existing">References!$D$187:$G$191</definedName>
    <definedName name="Ventilation_WatercooledUnit">References!$D$177:$E$181</definedName>
    <definedName name="Version" localSheetId="10">[5]Development!$B$4</definedName>
    <definedName name="Version" localSheetId="11">[5]Development!$B$4</definedName>
    <definedName name="Version" localSheetId="12">[5]Development!$B$4</definedName>
    <definedName name="Version" localSheetId="9">[5]Development!$B$4</definedName>
    <definedName name="Version">Development!$B$5</definedName>
    <definedName name="VFD_HP" localSheetId="3">OFFSET([2]References!$F$12,0,[2]References!$F$4,OFFSET([2]References!$F$11,0,[2]References!$F$4,1,1),1)</definedName>
    <definedName name="VFD_HP" localSheetId="4">OFFSET([2]References!$F$12,0,[2]References!$F$4,OFFSET([2]References!$F$11,0,[2]References!$F$4,1,1),1)</definedName>
    <definedName name="VFD_HP">OFFSET([3]References!$F$12,0,[3]References!$F$4,OFFSET([3]References!$F$11,0,[3]References!$F$4,1,1),1)</definedName>
    <definedName name="WholeBuilding_EB">References!$D$31:$D$34</definedName>
    <definedName name="WholeBuilding_NC">References!$E$31:$E$33</definedName>
    <definedName name="WkshtName">References!$B$8</definedName>
    <definedName name="Z_413575D0_A88C_4EFD_A604_365F28B09173_.wvu.Cols" localSheetId="1" hidden="1">'Customer Information'!$M:$IV</definedName>
    <definedName name="Z_413575D0_A88C_4EFD_A604_365F28B09173_.wvu.Cols" localSheetId="3" hidden="1">Guidelines!$M:$IV</definedName>
    <definedName name="Z_413575D0_A88C_4EFD_A604_365F28B09173_.wvu.Cols" localSheetId="4" hidden="1">'Required Documents'!$H:$IV</definedName>
    <definedName name="Z_413575D0_A88C_4EFD_A604_365F28B09173_.wvu.Cols" localSheetId="2" hidden="1">'Terms and Conditions'!$L:$IV</definedName>
    <definedName name="Z_413575D0_A88C_4EFD_A604_365F28B09173_.wvu.PrintArea" localSheetId="1" hidden="1">'Customer Information'!$A$1:$L$49</definedName>
    <definedName name="Z_413575D0_A88C_4EFD_A604_365F28B09173_.wvu.PrintArea" localSheetId="3" hidden="1">Guidelines!$A$1:$L$43</definedName>
    <definedName name="Z_413575D0_A88C_4EFD_A604_365F28B09173_.wvu.PrintArea" localSheetId="4" hidden="1">[6]Sheet2!#REF!</definedName>
    <definedName name="Z_413575D0_A88C_4EFD_A604_365F28B09173_.wvu.PrintArea" localSheetId="2" hidden="1">'Terms and Conditions'!$A$1:$K$79</definedName>
    <definedName name="Z_413575D0_A88C_4EFD_A604_365F28B09173_.wvu.Rows" localSheetId="1" hidden="1">'Customer Information'!$49:$65537,'Customer Information'!$43:$48</definedName>
    <definedName name="Z_413575D0_A88C_4EFD_A604_365F28B09173_.wvu.Rows" localSheetId="3" hidden="1">Guidelines!$50:$65539,Guidelines!$44:$47</definedName>
    <definedName name="Z_413575D0_A88C_4EFD_A604_365F28B09173_.wvu.Rows" localSheetId="4" hidden="1">'Required Documents'!$39:$65543</definedName>
    <definedName name="Z_413575D0_A88C_4EFD_A604_365F28B09173_.wvu.Rows" localSheetId="2" hidden="1">'Terms and Conditions'!$80:$65536</definedName>
    <definedName name="Z_BE55F258_44BC_4FB6_88BE_39351DF10384_.wvu.Cols" localSheetId="5" hidden="1">'Eligibility Table'!#REF!,'Eligibility Table'!$L:$IK</definedName>
    <definedName name="Z_BE55F258_44BC_4FB6_88BE_39351DF10384_.wvu.Cols" localSheetId="6" hidden="1">'HVAC Worksheet'!#REF!</definedName>
    <definedName name="Z_BE55F258_44BC_4FB6_88BE_39351DF10384_.wvu.Cols" localSheetId="0" hidden="1">Instructions!$P:$IV</definedName>
    <definedName name="Z_BE55F258_44BC_4FB6_88BE_39351DF10384_.wvu.Cols" localSheetId="17" hidden="1">'Old Summary'!$F:$F,'Old Summary'!$AF:$IV</definedName>
    <definedName name="Z_BE55F258_44BC_4FB6_88BE_39351DF10384_.wvu.Cols" localSheetId="7" hidden="1">Ventilation!#REF!</definedName>
    <definedName name="Z_BE55F258_44BC_4FB6_88BE_39351DF10384_.wvu.Cols" localSheetId="8" hidden="1">'Whole Building ccASHP Worksheet'!#REF!</definedName>
    <definedName name="Z_BE55F258_44BC_4FB6_88BE_39351DF10384_.wvu.Rows" localSheetId="5" hidden="1">'Eligibility Table'!$58:$65591,'Eligibility Table'!$50:$57</definedName>
    <definedName name="Z_BE55F258_44BC_4FB6_88BE_39351DF10384_.wvu.Rows" localSheetId="6" hidden="1">'HVAC Worksheet'!$45:$65537</definedName>
    <definedName name="Z_BE55F258_44BC_4FB6_88BE_39351DF10384_.wvu.Rows" localSheetId="0" hidden="1">Instructions!$31:$65537</definedName>
    <definedName name="Z_BE55F258_44BC_4FB6_88BE_39351DF10384_.wvu.Rows" localSheetId="17" hidden="1">'Old Summary'!$49:$65536,'Old Summary'!$38:$48</definedName>
    <definedName name="Z_BE55F258_44BC_4FB6_88BE_39351DF10384_.wvu.Rows" localSheetId="7" hidden="1">Ventilation!$49:$65541</definedName>
    <definedName name="Z_BE55F258_44BC_4FB6_88BE_39351DF10384_.wvu.Rows" localSheetId="8" hidden="1">'Whole Building ccASHP Worksheet'!$48:$65540</definedName>
  </definedNames>
  <calcPr calcId="191029"/>
  <customWorkbookViews>
    <customWorkbookView name="Keith Molloy - Personal View" guid="{BE55F258-44BC-4FB6-88BE-39351DF10384}" mergeInterval="0" personalView="1" maximized="1" windowWidth="1680" windowHeight="747" tabRatio="66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2" l="1"/>
  <c r="V18" i="2"/>
  <c r="V19" i="2"/>
  <c r="V20" i="2"/>
  <c r="V21" i="2"/>
  <c r="V22" i="2"/>
  <c r="V23" i="2"/>
  <c r="V24" i="2"/>
  <c r="V25" i="2"/>
  <c r="V26" i="2"/>
  <c r="V27" i="2"/>
  <c r="V28" i="2"/>
  <c r="V29" i="2"/>
  <c r="V30" i="2"/>
  <c r="V31" i="2"/>
  <c r="V32" i="2"/>
  <c r="V33" i="2"/>
  <c r="V34" i="2"/>
  <c r="V35" i="2"/>
  <c r="V36" i="2"/>
  <c r="V37" i="2"/>
  <c r="V38" i="2"/>
  <c r="V39" i="2"/>
  <c r="V40" i="2"/>
  <c r="V41" i="2"/>
  <c r="C97" i="9"/>
  <c r="K89" i="6"/>
  <c r="K90" i="6"/>
  <c r="K91" i="6"/>
  <c r="K92" i="6"/>
  <c r="K93" i="6"/>
  <c r="K94" i="6"/>
  <c r="K95" i="6"/>
  <c r="K96" i="6"/>
  <c r="K97" i="6"/>
  <c r="L89" i="6"/>
  <c r="L90" i="6"/>
  <c r="L91" i="6"/>
  <c r="L92" i="6"/>
  <c r="L93" i="6"/>
  <c r="L94" i="6"/>
  <c r="L95" i="6"/>
  <c r="L96" i="6"/>
  <c r="L97" i="6"/>
  <c r="M89" i="6"/>
  <c r="M90" i="6"/>
  <c r="M91" i="6"/>
  <c r="M92" i="6"/>
  <c r="M93" i="6"/>
  <c r="M94" i="6"/>
  <c r="M95" i="6"/>
  <c r="M96" i="6"/>
  <c r="M97" i="6"/>
  <c r="M88" i="6"/>
  <c r="K88" i="6" l="1"/>
  <c r="H88" i="6"/>
  <c r="H89" i="6"/>
  <c r="H90" i="6"/>
  <c r="H91" i="6"/>
  <c r="H92" i="6"/>
  <c r="H93" i="6"/>
  <c r="H94" i="6"/>
  <c r="H95" i="6"/>
  <c r="H96" i="6"/>
  <c r="H97" i="6"/>
  <c r="H87" i="6"/>
  <c r="K165" i="7"/>
  <c r="I176" i="7" l="1"/>
  <c r="H176" i="7"/>
  <c r="D79" i="12"/>
  <c r="BM23" i="7" l="1"/>
  <c r="BM22" i="7"/>
  <c r="BM6" i="7"/>
  <c r="BM7" i="7"/>
  <c r="H25" i="14" l="1"/>
  <c r="H23" i="14"/>
  <c r="H21" i="14"/>
  <c r="G8" i="23" l="1"/>
  <c r="S13" i="20" l="1"/>
  <c r="G7" i="2"/>
  <c r="AD13" i="2" s="1"/>
  <c r="G137" i="7"/>
  <c r="G138" i="7"/>
  <c r="G136" i="7"/>
  <c r="U13" i="23" l="1"/>
  <c r="C93" i="9" l="1"/>
  <c r="C92" i="9"/>
  <c r="F40" i="25" l="1"/>
  <c r="F41" i="25"/>
  <c r="F42" i="25"/>
  <c r="F43" i="25"/>
  <c r="F44" i="25"/>
  <c r="F45" i="25"/>
  <c r="F46" i="25"/>
  <c r="F47" i="25"/>
  <c r="F48" i="25"/>
  <c r="G73" i="6" l="1"/>
  <c r="G74" i="6"/>
  <c r="G75" i="6"/>
  <c r="G76" i="6"/>
  <c r="G77" i="6"/>
  <c r="G78" i="6"/>
  <c r="G79" i="6"/>
  <c r="G80" i="6"/>
  <c r="G81" i="6"/>
  <c r="G72" i="6"/>
  <c r="C90" i="9" l="1"/>
  <c r="C91" i="9"/>
  <c r="C89" i="9"/>
  <c r="F39" i="25" l="1"/>
  <c r="C40" i="25"/>
  <c r="C41" i="25"/>
  <c r="C42" i="25"/>
  <c r="C43" i="25"/>
  <c r="C44" i="25"/>
  <c r="C45" i="25"/>
  <c r="C46" i="25"/>
  <c r="C47" i="25"/>
  <c r="C48" i="25"/>
  <c r="E27" i="25"/>
  <c r="E28" i="25"/>
  <c r="E29" i="25"/>
  <c r="E30" i="25"/>
  <c r="E31" i="25"/>
  <c r="E32" i="25"/>
  <c r="E33" i="25"/>
  <c r="E34" i="25"/>
  <c r="E35" i="25"/>
  <c r="C27" i="25"/>
  <c r="C28" i="25"/>
  <c r="C29" i="25"/>
  <c r="C30" i="25"/>
  <c r="C31" i="25"/>
  <c r="C32" i="25"/>
  <c r="C33" i="25"/>
  <c r="C34" i="25"/>
  <c r="C35" i="25"/>
  <c r="E40" i="25"/>
  <c r="E41" i="25"/>
  <c r="E42" i="25"/>
  <c r="E43" i="25"/>
  <c r="E44" i="25"/>
  <c r="E45" i="25"/>
  <c r="E46" i="25"/>
  <c r="E47" i="25"/>
  <c r="E48" i="25"/>
  <c r="F27" i="25"/>
  <c r="F28" i="25"/>
  <c r="F29" i="25"/>
  <c r="F30" i="25"/>
  <c r="F31" i="25"/>
  <c r="F32" i="25"/>
  <c r="F33" i="25"/>
  <c r="F34" i="25"/>
  <c r="F35" i="25"/>
  <c r="E39" i="25"/>
  <c r="C39" i="25"/>
  <c r="F26" i="25"/>
  <c r="E26" i="25"/>
  <c r="C26" i="25"/>
  <c r="C3" i="25"/>
  <c r="A40" i="25"/>
  <c r="A41" i="25" s="1"/>
  <c r="A42" i="25" s="1"/>
  <c r="A43" i="25" s="1"/>
  <c r="A44" i="25" s="1"/>
  <c r="A45" i="25" s="1"/>
  <c r="A46" i="25" s="1"/>
  <c r="A47" i="25" s="1"/>
  <c r="A48" i="25" s="1"/>
  <c r="A27" i="25"/>
  <c r="A28" i="25" s="1"/>
  <c r="A29" i="25" s="1"/>
  <c r="A30" i="25" s="1"/>
  <c r="A31" i="25" s="1"/>
  <c r="A32" i="25" s="1"/>
  <c r="A33" i="25" s="1"/>
  <c r="A34" i="25" s="1"/>
  <c r="A35" i="25" s="1"/>
  <c r="D13" i="25"/>
  <c r="E12" i="25"/>
  <c r="E11" i="25"/>
  <c r="D6" i="25"/>
  <c r="D5" i="25"/>
  <c r="B1" i="25"/>
  <c r="J41" i="24"/>
  <c r="J42" i="24"/>
  <c r="J43" i="24"/>
  <c r="J44" i="24"/>
  <c r="J45" i="24"/>
  <c r="J46" i="24"/>
  <c r="J47" i="24"/>
  <c r="J48" i="24"/>
  <c r="J49" i="24"/>
  <c r="E41" i="24"/>
  <c r="E42" i="24"/>
  <c r="E43" i="24"/>
  <c r="E44" i="24"/>
  <c r="E45" i="24"/>
  <c r="E46" i="24"/>
  <c r="E47" i="24"/>
  <c r="E48" i="24"/>
  <c r="E49" i="24"/>
  <c r="C41" i="24"/>
  <c r="C42" i="24"/>
  <c r="C43" i="24"/>
  <c r="C44" i="24"/>
  <c r="C45" i="24"/>
  <c r="C46" i="24"/>
  <c r="C47" i="24"/>
  <c r="C48" i="24"/>
  <c r="C49" i="24"/>
  <c r="J28" i="24"/>
  <c r="J29" i="24"/>
  <c r="J30" i="24"/>
  <c r="J31" i="24"/>
  <c r="J32" i="24"/>
  <c r="J33" i="24"/>
  <c r="J34" i="24"/>
  <c r="J35" i="24"/>
  <c r="J36" i="24"/>
  <c r="I28" i="24"/>
  <c r="I29" i="24"/>
  <c r="I30" i="24"/>
  <c r="I31" i="24"/>
  <c r="I32" i="24"/>
  <c r="I33" i="24"/>
  <c r="I34" i="24"/>
  <c r="I35" i="24"/>
  <c r="I36" i="24"/>
  <c r="E28" i="24"/>
  <c r="E29" i="24"/>
  <c r="E30" i="24"/>
  <c r="E31" i="24"/>
  <c r="E32" i="24"/>
  <c r="E33" i="24"/>
  <c r="E34" i="24"/>
  <c r="E35" i="24"/>
  <c r="E36" i="24"/>
  <c r="C28" i="24"/>
  <c r="C29" i="24"/>
  <c r="C30" i="24"/>
  <c r="C31" i="24"/>
  <c r="C32" i="24"/>
  <c r="C33" i="24"/>
  <c r="C34" i="24"/>
  <c r="C35" i="24"/>
  <c r="C36" i="24"/>
  <c r="C3" i="24"/>
  <c r="J40" i="24"/>
  <c r="E40" i="24"/>
  <c r="C40" i="24"/>
  <c r="J27" i="24"/>
  <c r="I27" i="24"/>
  <c r="E27" i="24"/>
  <c r="C27" i="24"/>
  <c r="I49" i="24"/>
  <c r="H49" i="24"/>
  <c r="F49" i="24"/>
  <c r="I48" i="24"/>
  <c r="H48" i="24"/>
  <c r="F48" i="24"/>
  <c r="I47" i="24"/>
  <c r="H47" i="24"/>
  <c r="F47" i="24"/>
  <c r="I46" i="24"/>
  <c r="H46" i="24"/>
  <c r="F46" i="24"/>
  <c r="I45" i="24"/>
  <c r="H45" i="24"/>
  <c r="F45" i="24"/>
  <c r="I44" i="24"/>
  <c r="H44" i="24"/>
  <c r="F44" i="24"/>
  <c r="I43" i="24"/>
  <c r="H43" i="24"/>
  <c r="F43" i="24"/>
  <c r="I42" i="24"/>
  <c r="H42" i="24"/>
  <c r="F42" i="24"/>
  <c r="I41" i="24"/>
  <c r="H41" i="24"/>
  <c r="F41" i="24"/>
  <c r="A41" i="24"/>
  <c r="A42" i="24" s="1"/>
  <c r="A43" i="24" s="1"/>
  <c r="A44" i="24" s="1"/>
  <c r="A45" i="24" s="1"/>
  <c r="A46" i="24" s="1"/>
  <c r="A47" i="24" s="1"/>
  <c r="A48" i="24" s="1"/>
  <c r="A49" i="24" s="1"/>
  <c r="A28" i="24"/>
  <c r="A29" i="24" s="1"/>
  <c r="A30" i="24" s="1"/>
  <c r="A31" i="24" s="1"/>
  <c r="A32" i="24" s="1"/>
  <c r="A33" i="24" s="1"/>
  <c r="A34" i="24" s="1"/>
  <c r="A35" i="24" s="1"/>
  <c r="A36" i="24" s="1"/>
  <c r="D13" i="24"/>
  <c r="E12" i="24"/>
  <c r="E11" i="24"/>
  <c r="D6" i="24"/>
  <c r="D5" i="24"/>
  <c r="B1" i="24"/>
  <c r="M36" i="23" l="1"/>
  <c r="M37" i="23"/>
  <c r="M38" i="23"/>
  <c r="M39" i="23"/>
  <c r="M40" i="23"/>
  <c r="M41" i="23"/>
  <c r="M42" i="23"/>
  <c r="M43" i="23"/>
  <c r="M44" i="23"/>
  <c r="M45" i="23"/>
  <c r="C71" i="6"/>
  <c r="Y71" i="6" s="1"/>
  <c r="D71" i="6"/>
  <c r="E71" i="6"/>
  <c r="F71" i="6"/>
  <c r="G71" i="6"/>
  <c r="H71" i="6"/>
  <c r="S71" i="6" s="1"/>
  <c r="T71" i="6" s="1"/>
  <c r="I71" i="6"/>
  <c r="J71" i="6"/>
  <c r="Q71" i="6" s="1"/>
  <c r="K71" i="6"/>
  <c r="L71" i="6"/>
  <c r="AB71" i="6" s="1"/>
  <c r="M71" i="6"/>
  <c r="N71" i="6"/>
  <c r="Z71" i="6" s="1"/>
  <c r="P71" i="6"/>
  <c r="C87" i="6"/>
  <c r="V87" i="6" s="1"/>
  <c r="D87" i="6"/>
  <c r="E87" i="6"/>
  <c r="F87" i="6"/>
  <c r="G87" i="6"/>
  <c r="I87" i="6"/>
  <c r="J87" i="6"/>
  <c r="K87" i="6"/>
  <c r="L87" i="6"/>
  <c r="M87" i="6"/>
  <c r="AH71" i="6" l="1"/>
  <c r="P87" i="6"/>
  <c r="AN71" i="6"/>
  <c r="O87" i="6"/>
  <c r="U71" i="6"/>
  <c r="AF71" i="6" s="1"/>
  <c r="AL71" i="6"/>
  <c r="AK71" i="6"/>
  <c r="AT71" i="6" s="1"/>
  <c r="O71" i="6"/>
  <c r="Q87" i="6"/>
  <c r="R87" i="6" s="1"/>
  <c r="S87" i="6" s="1"/>
  <c r="R71" i="6"/>
  <c r="AM71" i="6"/>
  <c r="AQ71" i="6" s="1"/>
  <c r="AC71" i="6"/>
  <c r="AA71" i="6"/>
  <c r="AE71" i="6" s="1"/>
  <c r="H72" i="6"/>
  <c r="H73" i="6"/>
  <c r="H74" i="6"/>
  <c r="H75" i="6"/>
  <c r="H76" i="6"/>
  <c r="H77" i="6"/>
  <c r="H78" i="6"/>
  <c r="H79" i="6"/>
  <c r="H80" i="6"/>
  <c r="H81" i="6"/>
  <c r="M29" i="23"/>
  <c r="M28" i="23"/>
  <c r="M27" i="23"/>
  <c r="M26" i="23"/>
  <c r="M25" i="23"/>
  <c r="M24" i="23"/>
  <c r="M23" i="23"/>
  <c r="M22" i="23"/>
  <c r="M21" i="23"/>
  <c r="M20" i="23"/>
  <c r="AR71" i="6" l="1"/>
  <c r="AO71" i="6"/>
  <c r="AP71" i="6" s="1"/>
  <c r="AD71" i="6"/>
  <c r="AG71" i="6"/>
  <c r="T87" i="6"/>
  <c r="I88" i="6"/>
  <c r="I89" i="6"/>
  <c r="I90" i="6"/>
  <c r="I91" i="6"/>
  <c r="I92" i="6"/>
  <c r="I93" i="6"/>
  <c r="I94" i="6"/>
  <c r="I95" i="6"/>
  <c r="I96" i="6"/>
  <c r="I97" i="6"/>
  <c r="AU71" i="6" l="1"/>
  <c r="AX71" i="6" s="1"/>
  <c r="AS71" i="6"/>
  <c r="AI71" i="6"/>
  <c r="AW71" i="6" s="1"/>
  <c r="E226" i="7"/>
  <c r="W87" i="6" s="1"/>
  <c r="E225" i="7"/>
  <c r="E224" i="7"/>
  <c r="E223" i="7"/>
  <c r="E222" i="7"/>
  <c r="E221" i="7"/>
  <c r="E220" i="7"/>
  <c r="E219" i="7"/>
  <c r="E218" i="7"/>
  <c r="J88" i="6" l="1"/>
  <c r="L88" i="6" s="1"/>
  <c r="J89" i="6"/>
  <c r="J90" i="6"/>
  <c r="J91" i="6"/>
  <c r="J92" i="6"/>
  <c r="J93" i="6"/>
  <c r="J94" i="6"/>
  <c r="J95" i="6"/>
  <c r="J96" i="6"/>
  <c r="J97" i="6"/>
  <c r="G88" i="6"/>
  <c r="G89" i="6"/>
  <c r="G90" i="6"/>
  <c r="G91" i="6"/>
  <c r="G92" i="6"/>
  <c r="G93" i="6"/>
  <c r="G94" i="6"/>
  <c r="G95" i="6"/>
  <c r="G96" i="6"/>
  <c r="G97" i="6"/>
  <c r="F88" i="6"/>
  <c r="F89" i="6"/>
  <c r="F90" i="6"/>
  <c r="F91" i="6"/>
  <c r="F92" i="6"/>
  <c r="F93" i="6"/>
  <c r="F94" i="6"/>
  <c r="F95" i="6"/>
  <c r="F96" i="6"/>
  <c r="F97" i="6"/>
  <c r="E88" i="6"/>
  <c r="E89" i="6"/>
  <c r="E90" i="6"/>
  <c r="E91" i="6"/>
  <c r="E92" i="6"/>
  <c r="E93" i="6"/>
  <c r="E94" i="6"/>
  <c r="E95" i="6"/>
  <c r="E96" i="6"/>
  <c r="E97" i="6"/>
  <c r="D88" i="6"/>
  <c r="D89" i="6"/>
  <c r="D90" i="6"/>
  <c r="D91" i="6"/>
  <c r="D92" i="6"/>
  <c r="D93" i="6"/>
  <c r="D94" i="6"/>
  <c r="D95" i="6"/>
  <c r="D96" i="6"/>
  <c r="D97" i="6"/>
  <c r="C88" i="6"/>
  <c r="C89" i="6"/>
  <c r="C90" i="6"/>
  <c r="C91" i="6"/>
  <c r="C92" i="6"/>
  <c r="C93" i="6"/>
  <c r="C94" i="6"/>
  <c r="C95" i="6"/>
  <c r="C96" i="6"/>
  <c r="C97" i="6"/>
  <c r="M35" i="23"/>
  <c r="O88" i="6" l="1"/>
  <c r="Q97" i="6"/>
  <c r="P97" i="6"/>
  <c r="O97" i="6"/>
  <c r="Q93" i="6"/>
  <c r="P93" i="6"/>
  <c r="O93" i="6"/>
  <c r="O96" i="6"/>
  <c r="Q96" i="6"/>
  <c r="P96" i="6"/>
  <c r="O92" i="6"/>
  <c r="Q92" i="6"/>
  <c r="P92" i="6"/>
  <c r="P88" i="6"/>
  <c r="O95" i="6"/>
  <c r="Q95" i="6"/>
  <c r="P95" i="6"/>
  <c r="O91" i="6"/>
  <c r="Q91" i="6"/>
  <c r="P91" i="6"/>
  <c r="Q94" i="6"/>
  <c r="P94" i="6"/>
  <c r="O94" i="6"/>
  <c r="Q90" i="6"/>
  <c r="P90" i="6"/>
  <c r="O90" i="6"/>
  <c r="Q88" i="6"/>
  <c r="P89" i="6"/>
  <c r="Q89" i="6"/>
  <c r="O89" i="6"/>
  <c r="V95" i="6"/>
  <c r="V91" i="6"/>
  <c r="V94" i="6"/>
  <c r="V90" i="6"/>
  <c r="V96" i="6"/>
  <c r="V92" i="6"/>
  <c r="V97" i="6"/>
  <c r="V93" i="6"/>
  <c r="V89" i="6"/>
  <c r="V88" i="6"/>
  <c r="I72" i="6"/>
  <c r="I73" i="6"/>
  <c r="I74" i="6"/>
  <c r="I75" i="6"/>
  <c r="I76" i="6"/>
  <c r="I77" i="6"/>
  <c r="I78" i="6"/>
  <c r="I79" i="6"/>
  <c r="I80" i="6"/>
  <c r="I81" i="6"/>
  <c r="J72" i="6"/>
  <c r="J73" i="6"/>
  <c r="J74" i="6"/>
  <c r="J75" i="6"/>
  <c r="J76" i="6"/>
  <c r="J77" i="6"/>
  <c r="J78" i="6"/>
  <c r="J79" i="6"/>
  <c r="J80" i="6"/>
  <c r="J81" i="6"/>
  <c r="K72" i="6"/>
  <c r="K73" i="6"/>
  <c r="K74" i="6"/>
  <c r="K75" i="6"/>
  <c r="K76" i="6"/>
  <c r="K77" i="6"/>
  <c r="K78" i="6"/>
  <c r="K79" i="6"/>
  <c r="K80" i="6"/>
  <c r="K81" i="6"/>
  <c r="L72" i="6"/>
  <c r="L73" i="6"/>
  <c r="L74" i="6"/>
  <c r="L75" i="6"/>
  <c r="L76" i="6"/>
  <c r="L77" i="6"/>
  <c r="L78" i="6"/>
  <c r="L79" i="6"/>
  <c r="L80" i="6"/>
  <c r="L81" i="6"/>
  <c r="M72" i="6"/>
  <c r="M73" i="6"/>
  <c r="M74" i="6"/>
  <c r="M75" i="6"/>
  <c r="M76" i="6"/>
  <c r="M77" i="6"/>
  <c r="M78" i="6"/>
  <c r="M79" i="6"/>
  <c r="M80" i="6"/>
  <c r="M81" i="6"/>
  <c r="N72" i="6"/>
  <c r="N73" i="6"/>
  <c r="N74" i="6"/>
  <c r="N75" i="6"/>
  <c r="N76" i="6"/>
  <c r="N77" i="6"/>
  <c r="N78" i="6"/>
  <c r="N79" i="6"/>
  <c r="N80" i="6"/>
  <c r="N81" i="6"/>
  <c r="R88" i="6" l="1"/>
  <c r="T88" i="6" s="1"/>
  <c r="W88" i="6" s="1"/>
  <c r="O76" i="6"/>
  <c r="O74" i="6"/>
  <c r="O73" i="6"/>
  <c r="Q81" i="6"/>
  <c r="Q76" i="6"/>
  <c r="AM76" i="6" s="1"/>
  <c r="AQ76" i="6" s="1"/>
  <c r="Q77" i="6"/>
  <c r="AM77" i="6" s="1"/>
  <c r="AQ77" i="6" s="1"/>
  <c r="Q79" i="6"/>
  <c r="AA79" i="6" s="1"/>
  <c r="AE79" i="6" s="1"/>
  <c r="Q75" i="6"/>
  <c r="AM75" i="6" s="1"/>
  <c r="AQ75" i="6" s="1"/>
  <c r="Q78" i="6"/>
  <c r="AA78" i="6" s="1"/>
  <c r="Q72" i="6"/>
  <c r="AM72" i="6" s="1"/>
  <c r="AQ72" i="6" s="1"/>
  <c r="R97" i="6"/>
  <c r="S97" i="6" s="1"/>
  <c r="U97" i="6" s="1"/>
  <c r="R96" i="6"/>
  <c r="S96" i="6" s="1"/>
  <c r="U96" i="6" s="1"/>
  <c r="R94" i="6"/>
  <c r="R95" i="6"/>
  <c r="R92" i="6"/>
  <c r="R93" i="6"/>
  <c r="R89" i="6"/>
  <c r="R90" i="6"/>
  <c r="S90" i="6" s="1"/>
  <c r="U90" i="6" s="1"/>
  <c r="R91" i="6"/>
  <c r="Q73" i="6"/>
  <c r="AM73" i="6" s="1"/>
  <c r="AQ73" i="6" s="1"/>
  <c r="Q80" i="6"/>
  <c r="AM80" i="6" s="1"/>
  <c r="AQ80" i="6" s="1"/>
  <c r="Q74" i="6"/>
  <c r="AA74" i="6" s="1"/>
  <c r="AE74" i="6" s="1"/>
  <c r="O75" i="6"/>
  <c r="O72" i="6"/>
  <c r="O79" i="6"/>
  <c r="O80" i="6"/>
  <c r="O81" i="6"/>
  <c r="O77" i="6"/>
  <c r="O78" i="6"/>
  <c r="AM81" i="6"/>
  <c r="AQ81" i="6" s="1"/>
  <c r="AA81" i="6"/>
  <c r="AE81" i="6" s="1"/>
  <c r="S88" i="6" l="1"/>
  <c r="U88" i="6" s="1"/>
  <c r="AM79" i="6"/>
  <c r="AQ79" i="6" s="1"/>
  <c r="AM74" i="6"/>
  <c r="AQ74" i="6" s="1"/>
  <c r="T36" i="23"/>
  <c r="AA80" i="6"/>
  <c r="AE80" i="6" s="1"/>
  <c r="AM78" i="6"/>
  <c r="AA77" i="6"/>
  <c r="AE77" i="6" s="1"/>
  <c r="AA76" i="6"/>
  <c r="AE76" i="6" s="1"/>
  <c r="AA75" i="6"/>
  <c r="AE75" i="6" s="1"/>
  <c r="AA73" i="6"/>
  <c r="AE73" i="6" s="1"/>
  <c r="AA72" i="6"/>
  <c r="AE72" i="6" s="1"/>
  <c r="S89" i="6"/>
  <c r="U89" i="6" s="1"/>
  <c r="T94" i="6"/>
  <c r="S94" i="6"/>
  <c r="U94" i="6" s="1"/>
  <c r="T93" i="6"/>
  <c r="W93" i="6" s="1"/>
  <c r="S93" i="6"/>
  <c r="U93" i="6" s="1"/>
  <c r="T95" i="6"/>
  <c r="S95" i="6"/>
  <c r="U95" i="6" s="1"/>
  <c r="T90" i="6"/>
  <c r="T91" i="6"/>
  <c r="S91" i="6"/>
  <c r="U91" i="6" s="1"/>
  <c r="T92" i="6"/>
  <c r="S92" i="6"/>
  <c r="U92" i="6" s="1"/>
  <c r="T97" i="6"/>
  <c r="T96" i="6"/>
  <c r="T89" i="6"/>
  <c r="M19" i="23"/>
  <c r="Q17" i="2"/>
  <c r="S72" i="6"/>
  <c r="U72" i="6" s="1"/>
  <c r="S73" i="6"/>
  <c r="U73" i="6" s="1"/>
  <c r="S74" i="6"/>
  <c r="U74" i="6" s="1"/>
  <c r="S75" i="6"/>
  <c r="U75" i="6" s="1"/>
  <c r="S76" i="6"/>
  <c r="U76" i="6" s="1"/>
  <c r="S77" i="6"/>
  <c r="U77" i="6" s="1"/>
  <c r="S78" i="6"/>
  <c r="U78" i="6" s="1"/>
  <c r="S79" i="6"/>
  <c r="U79" i="6" s="1"/>
  <c r="S80" i="6"/>
  <c r="U80" i="6" s="1"/>
  <c r="S81" i="6"/>
  <c r="U81" i="6" s="1"/>
  <c r="F72" i="6"/>
  <c r="F73" i="6"/>
  <c r="F74" i="6"/>
  <c r="F75" i="6"/>
  <c r="F76" i="6"/>
  <c r="F77" i="6"/>
  <c r="F78" i="6"/>
  <c r="F79" i="6"/>
  <c r="F80" i="6"/>
  <c r="F81" i="6"/>
  <c r="E72" i="6"/>
  <c r="E73" i="6"/>
  <c r="E74" i="6"/>
  <c r="E75" i="6"/>
  <c r="E76" i="6"/>
  <c r="E77" i="6"/>
  <c r="E78" i="6"/>
  <c r="E79" i="6"/>
  <c r="E80" i="6"/>
  <c r="E81" i="6"/>
  <c r="D72" i="6"/>
  <c r="D73" i="6"/>
  <c r="D74" i="6"/>
  <c r="D75" i="6"/>
  <c r="D76" i="6"/>
  <c r="D77" i="6"/>
  <c r="D78" i="6"/>
  <c r="D79" i="6"/>
  <c r="D80" i="6"/>
  <c r="D81" i="6"/>
  <c r="C72" i="6"/>
  <c r="C73" i="6"/>
  <c r="C74" i="6"/>
  <c r="C75" i="6"/>
  <c r="C76" i="6"/>
  <c r="C77" i="6"/>
  <c r="C78" i="6"/>
  <c r="C79" i="6"/>
  <c r="C80" i="6"/>
  <c r="C81" i="6"/>
  <c r="AV81" i="6" l="1"/>
  <c r="AJ81" i="6"/>
  <c r="AV77" i="6"/>
  <c r="AJ77" i="6"/>
  <c r="AV80" i="6"/>
  <c r="AJ80" i="6"/>
  <c r="AV76" i="6"/>
  <c r="AJ76" i="6"/>
  <c r="AV79" i="6"/>
  <c r="AJ79" i="6"/>
  <c r="AV75" i="6"/>
  <c r="AJ75" i="6"/>
  <c r="AQ78" i="6"/>
  <c r="AJ78" i="6"/>
  <c r="AV78" i="6"/>
  <c r="AJ74" i="6"/>
  <c r="AV74" i="6"/>
  <c r="C94" i="9"/>
  <c r="I94" i="9" s="1" a="1"/>
  <c r="I94" i="9" s="1"/>
  <c r="E94" i="9" s="1"/>
  <c r="T41" i="23"/>
  <c r="W94" i="6"/>
  <c r="T42" i="23" s="1"/>
  <c r="W89" i="6"/>
  <c r="T37" i="23" s="1"/>
  <c r="W91" i="6"/>
  <c r="T39" i="23" s="1"/>
  <c r="T44" i="23"/>
  <c r="W96" i="6"/>
  <c r="W90" i="6"/>
  <c r="T38" i="23" s="1"/>
  <c r="W92" i="6"/>
  <c r="T40" i="23" s="1"/>
  <c r="W95" i="6"/>
  <c r="T43" i="23" s="1"/>
  <c r="T45" i="23"/>
  <c r="W97" i="6"/>
  <c r="P76" i="6"/>
  <c r="R76" i="6"/>
  <c r="P79" i="6"/>
  <c r="R79" i="6"/>
  <c r="P75" i="6"/>
  <c r="R75" i="6"/>
  <c r="R80" i="6"/>
  <c r="P80" i="6"/>
  <c r="R72" i="6"/>
  <c r="P72" i="6"/>
  <c r="R78" i="6"/>
  <c r="P78" i="6"/>
  <c r="R74" i="6"/>
  <c r="P74" i="6"/>
  <c r="R81" i="6"/>
  <c r="P81" i="6"/>
  <c r="R77" i="6"/>
  <c r="P77" i="6"/>
  <c r="R73" i="6"/>
  <c r="P73" i="6"/>
  <c r="AK73" i="6"/>
  <c r="Y73" i="6"/>
  <c r="Y80" i="6"/>
  <c r="AK80" i="6"/>
  <c r="Y76" i="6"/>
  <c r="AK76" i="6"/>
  <c r="AK81" i="6"/>
  <c r="Y81" i="6"/>
  <c r="Y72" i="6"/>
  <c r="AK72" i="6"/>
  <c r="Y79" i="6"/>
  <c r="AK79" i="6"/>
  <c r="AK75" i="6"/>
  <c r="Y75" i="6"/>
  <c r="AK77" i="6"/>
  <c r="Y77" i="6"/>
  <c r="AK78" i="6"/>
  <c r="Y78" i="6"/>
  <c r="AE78" i="6" s="1"/>
  <c r="AK74" i="6"/>
  <c r="Y74" i="6"/>
  <c r="T81" i="6"/>
  <c r="T73" i="6"/>
  <c r="T80" i="6"/>
  <c r="T76" i="6"/>
  <c r="T72" i="6"/>
  <c r="T77" i="6"/>
  <c r="T79" i="6"/>
  <c r="T75" i="6"/>
  <c r="T78" i="6"/>
  <c r="T74" i="6"/>
  <c r="J94" i="9" l="1" a="1"/>
  <c r="J94" i="9" s="1"/>
  <c r="H94" i="9" a="1"/>
  <c r="H94" i="9" s="1"/>
  <c r="D94" i="9" s="1"/>
  <c r="K94" i="9"/>
  <c r="AN73" i="6"/>
  <c r="AT73" i="6" s="1"/>
  <c r="AV73" i="6" s="1"/>
  <c r="AB73" i="6"/>
  <c r="AH73" i="6" s="1"/>
  <c r="AJ73" i="6" s="1"/>
  <c r="AB81" i="6"/>
  <c r="AH81" i="6" s="1"/>
  <c r="AN81" i="6"/>
  <c r="AT81" i="6" s="1"/>
  <c r="AB78" i="6"/>
  <c r="AH78" i="6" s="1"/>
  <c r="AN78" i="6"/>
  <c r="AT78" i="6" s="1"/>
  <c r="AB80" i="6"/>
  <c r="AH80" i="6" s="1"/>
  <c r="AN80" i="6"/>
  <c r="AL79" i="6"/>
  <c r="AR79" i="6" s="1"/>
  <c r="Z79" i="6"/>
  <c r="AF79" i="6" s="1"/>
  <c r="Z73" i="6"/>
  <c r="AF73" i="6" s="1"/>
  <c r="AL73" i="6"/>
  <c r="AR73" i="6" s="1"/>
  <c r="Z81" i="6"/>
  <c r="AF81" i="6" s="1"/>
  <c r="AL81" i="6"/>
  <c r="AR81" i="6" s="1"/>
  <c r="AL78" i="6"/>
  <c r="AR78" i="6" s="1"/>
  <c r="Z78" i="6"/>
  <c r="AF78" i="6" s="1"/>
  <c r="AL80" i="6"/>
  <c r="AR80" i="6" s="1"/>
  <c r="Z80" i="6"/>
  <c r="AF80" i="6" s="1"/>
  <c r="AN79" i="6"/>
  <c r="AB79" i="6"/>
  <c r="AH79" i="6" s="1"/>
  <c r="AN77" i="6"/>
  <c r="AT77" i="6" s="1"/>
  <c r="AB77" i="6"/>
  <c r="AH77" i="6" s="1"/>
  <c r="AN74" i="6"/>
  <c r="AT74" i="6" s="1"/>
  <c r="AB74" i="6"/>
  <c r="AH74" i="6" s="1"/>
  <c r="AN72" i="6"/>
  <c r="AT72" i="6" s="1"/>
  <c r="AV72" i="6" s="1"/>
  <c r="AB72" i="6"/>
  <c r="AH72" i="6" s="1"/>
  <c r="AJ72" i="6" s="1"/>
  <c r="Z75" i="6"/>
  <c r="AF75" i="6" s="1"/>
  <c r="AL75" i="6"/>
  <c r="AR75" i="6" s="1"/>
  <c r="AL76" i="6"/>
  <c r="AR76" i="6" s="1"/>
  <c r="Z76" i="6"/>
  <c r="AF76" i="6" s="1"/>
  <c r="AO78" i="6"/>
  <c r="AP78" i="6" s="1"/>
  <c r="AL77" i="6"/>
  <c r="AR77" i="6" s="1"/>
  <c r="Z77" i="6"/>
  <c r="AF77" i="6" s="1"/>
  <c r="Z74" i="6"/>
  <c r="AF74" i="6" s="1"/>
  <c r="AL74" i="6"/>
  <c r="AR74" i="6" s="1"/>
  <c r="AL72" i="6"/>
  <c r="AR72" i="6" s="1"/>
  <c r="Z72" i="6"/>
  <c r="AF72" i="6" s="1"/>
  <c r="AN75" i="6"/>
  <c r="AT75" i="6" s="1"/>
  <c r="AB75" i="6"/>
  <c r="AH75" i="6" s="1"/>
  <c r="AN76" i="6"/>
  <c r="AT76" i="6" s="1"/>
  <c r="AB76" i="6"/>
  <c r="AH76" i="6" s="1"/>
  <c r="AC81" i="6" l="1"/>
  <c r="AG81" i="6" s="1"/>
  <c r="AO74" i="6"/>
  <c r="AP74" i="6" s="1"/>
  <c r="AU74" i="6" s="1"/>
  <c r="AX74" i="6" s="1"/>
  <c r="AZ74" i="6" s="1"/>
  <c r="AO73" i="6"/>
  <c r="AS73" i="6" s="1"/>
  <c r="F94" i="9"/>
  <c r="AC78" i="6"/>
  <c r="AG78" i="6" s="1"/>
  <c r="AC77" i="6"/>
  <c r="AD77" i="6" s="1"/>
  <c r="AC73" i="6"/>
  <c r="AG73" i="6" s="1"/>
  <c r="AC74" i="6"/>
  <c r="AG74" i="6" s="1"/>
  <c r="AO80" i="6"/>
  <c r="AP80" i="6" s="1"/>
  <c r="AU80" i="6" s="1"/>
  <c r="AX80" i="6" s="1"/>
  <c r="AT80" i="6"/>
  <c r="AO79" i="6"/>
  <c r="AP79" i="6" s="1"/>
  <c r="AU79" i="6" s="1"/>
  <c r="AX79" i="6" s="1"/>
  <c r="AT79" i="6"/>
  <c r="AC80" i="6"/>
  <c r="AG80" i="6" s="1"/>
  <c r="AC75" i="6"/>
  <c r="AG75" i="6" s="1"/>
  <c r="AS78" i="6"/>
  <c r="AC79" i="6"/>
  <c r="AG79" i="6" s="1"/>
  <c r="AC72" i="6"/>
  <c r="AG72" i="6" s="1"/>
  <c r="AO75" i="6"/>
  <c r="AP75" i="6" s="1"/>
  <c r="AU75" i="6" s="1"/>
  <c r="AX75" i="6" s="1"/>
  <c r="AZ75" i="6" s="1"/>
  <c r="AO81" i="6"/>
  <c r="AP81" i="6" s="1"/>
  <c r="AU81" i="6" s="1"/>
  <c r="AX81" i="6" s="1"/>
  <c r="AO77" i="6"/>
  <c r="AP77" i="6" s="1"/>
  <c r="AU77" i="6" s="1"/>
  <c r="AX77" i="6" s="1"/>
  <c r="AU78" i="6"/>
  <c r="AX78" i="6" s="1"/>
  <c r="AO72" i="6"/>
  <c r="AP72" i="6" s="1"/>
  <c r="AU72" i="6" s="1"/>
  <c r="AO76" i="6"/>
  <c r="AP76" i="6" s="1"/>
  <c r="AU76" i="6" s="1"/>
  <c r="AC76" i="6"/>
  <c r="AG76" i="6" s="1"/>
  <c r="B3" i="23"/>
  <c r="AG47" i="23"/>
  <c r="C47" i="23"/>
  <c r="C13" i="23"/>
  <c r="G12" i="23"/>
  <c r="C12" i="23"/>
  <c r="G11" i="23"/>
  <c r="C11" i="23"/>
  <c r="G10" i="23"/>
  <c r="C10" i="23"/>
  <c r="G9" i="23"/>
  <c r="C9" i="23"/>
  <c r="C8" i="23"/>
  <c r="C6" i="23"/>
  <c r="B2" i="23"/>
  <c r="AD81" i="6" l="1"/>
  <c r="AI81" i="6" s="1"/>
  <c r="AW81" i="6" s="1"/>
  <c r="AY81" i="6" s="1"/>
  <c r="AS74" i="6"/>
  <c r="AP73" i="6"/>
  <c r="AU73" i="6" s="1"/>
  <c r="AX73" i="6" s="1"/>
  <c r="AZ73" i="6" s="1"/>
  <c r="AG77" i="6"/>
  <c r="AD73" i="6"/>
  <c r="AI73" i="6" s="1"/>
  <c r="AD78" i="6"/>
  <c r="AI78" i="6" s="1"/>
  <c r="AW78" i="6" s="1"/>
  <c r="AY78" i="6" s="1"/>
  <c r="AS76" i="6"/>
  <c r="AD80" i="6"/>
  <c r="AI80" i="6" s="1"/>
  <c r="AW80" i="6" s="1"/>
  <c r="AY80" i="6" s="1"/>
  <c r="AS80" i="6"/>
  <c r="AD79" i="6"/>
  <c r="AI79" i="6" s="1"/>
  <c r="AW79" i="6" s="1"/>
  <c r="AY79" i="6" s="1"/>
  <c r="AS77" i="6"/>
  <c r="AX76" i="6"/>
  <c r="AD76" i="6"/>
  <c r="AI76" i="6" s="1"/>
  <c r="AW76" i="6" s="1"/>
  <c r="AS75" i="6"/>
  <c r="AD75" i="6"/>
  <c r="AI75" i="6" s="1"/>
  <c r="AW75" i="6" s="1"/>
  <c r="AD74" i="6"/>
  <c r="AI74" i="6" s="1"/>
  <c r="AW74" i="6" s="1"/>
  <c r="AY74" i="6" s="1"/>
  <c r="AD72" i="6"/>
  <c r="AI72" i="6" s="1"/>
  <c r="AS81" i="6"/>
  <c r="AS79" i="6"/>
  <c r="AS72" i="6"/>
  <c r="I93" i="9" s="1"/>
  <c r="E93" i="9" s="1"/>
  <c r="W27" i="23"/>
  <c r="AZ79" i="6"/>
  <c r="W25" i="23"/>
  <c r="AZ77" i="6"/>
  <c r="AZ81" i="6"/>
  <c r="AZ80" i="6"/>
  <c r="W26" i="23"/>
  <c r="AZ78" i="6"/>
  <c r="AX72" i="6"/>
  <c r="AI77" i="6"/>
  <c r="AW77" i="6" s="1"/>
  <c r="AY77" i="6" s="1"/>
  <c r="J93" i="9" l="1"/>
  <c r="F93" i="9" s="1"/>
  <c r="H93" i="9"/>
  <c r="D93" i="9" s="1"/>
  <c r="W28" i="23"/>
  <c r="W22" i="23"/>
  <c r="W29" i="23"/>
  <c r="AZ76" i="6"/>
  <c r="K93" i="9"/>
  <c r="H92" i="9"/>
  <c r="I92" i="9"/>
  <c r="J92" i="9"/>
  <c r="W24" i="23"/>
  <c r="AY76" i="6"/>
  <c r="AZ72" i="6"/>
  <c r="W23" i="23"/>
  <c r="AY75" i="6"/>
  <c r="AW72" i="6"/>
  <c r="AW73" i="6"/>
  <c r="AY73" i="6" s="1"/>
  <c r="F90" i="9"/>
  <c r="J90" i="9"/>
  <c r="E90" i="9"/>
  <c r="I90" i="9"/>
  <c r="D90" i="9"/>
  <c r="H90" i="9"/>
  <c r="J89" i="9"/>
  <c r="I89" i="9"/>
  <c r="F89" i="9"/>
  <c r="D89" i="9"/>
  <c r="H89" i="9"/>
  <c r="E89" i="9"/>
  <c r="BO23" i="7"/>
  <c r="BO22" i="7"/>
  <c r="F92" i="9" l="1"/>
  <c r="W21" i="23"/>
  <c r="AY72" i="6"/>
  <c r="K92" i="9"/>
  <c r="W20" i="23"/>
  <c r="D92" i="9"/>
  <c r="H97" i="9"/>
  <c r="E92" i="9"/>
  <c r="I97" i="9"/>
  <c r="E97" i="9" s="1"/>
  <c r="J97" i="9"/>
  <c r="F97" i="9" s="1"/>
  <c r="D82" i="12"/>
  <c r="D81" i="12"/>
  <c r="D80" i="12"/>
  <c r="K97" i="9" l="1"/>
  <c r="V10" i="23" s="1"/>
  <c r="V7" i="23"/>
  <c r="D97" i="9"/>
  <c r="V8" i="23"/>
  <c r="V9" i="23"/>
  <c r="D87" i="12"/>
  <c r="D88" i="12"/>
  <c r="D89" i="12"/>
  <c r="V11" i="23" l="1"/>
  <c r="T12" i="23" s="1"/>
  <c r="I27" i="21"/>
  <c r="I28" i="21"/>
  <c r="I29" i="21"/>
  <c r="I30" i="21"/>
  <c r="I31" i="21"/>
  <c r="I32" i="21"/>
  <c r="I33" i="21"/>
  <c r="I34" i="21"/>
  <c r="I35" i="21"/>
  <c r="I36" i="21"/>
  <c r="I37" i="21"/>
  <c r="I38" i="21"/>
  <c r="I39" i="21"/>
  <c r="I40" i="21"/>
  <c r="I41" i="21"/>
  <c r="I42" i="21"/>
  <c r="I43" i="21"/>
  <c r="I44" i="21"/>
  <c r="I45" i="21"/>
  <c r="I46" i="21"/>
  <c r="I47" i="21"/>
  <c r="I48" i="21"/>
  <c r="I49" i="21"/>
  <c r="I50" i="21"/>
  <c r="I26" i="21"/>
  <c r="H55" i="21"/>
  <c r="I55" i="21"/>
  <c r="H56" i="21"/>
  <c r="I56" i="21"/>
  <c r="H57" i="21"/>
  <c r="I57" i="21"/>
  <c r="H58" i="21"/>
  <c r="I58" i="21"/>
  <c r="H59" i="21"/>
  <c r="I59" i="21"/>
  <c r="H60" i="21"/>
  <c r="I60" i="21"/>
  <c r="H61" i="21"/>
  <c r="I61" i="21"/>
  <c r="H62" i="21"/>
  <c r="I62" i="21"/>
  <c r="H63" i="21"/>
  <c r="I63" i="21"/>
  <c r="H64" i="21"/>
  <c r="I64" i="21"/>
  <c r="H65" i="21"/>
  <c r="I65" i="21"/>
  <c r="H66" i="21"/>
  <c r="I66" i="21"/>
  <c r="H67" i="21"/>
  <c r="I67" i="21"/>
  <c r="H68" i="21"/>
  <c r="I68" i="21"/>
  <c r="H69" i="21"/>
  <c r="I69" i="21"/>
  <c r="H70" i="21"/>
  <c r="I70" i="21"/>
  <c r="H71" i="21"/>
  <c r="I71" i="21"/>
  <c r="H72" i="21"/>
  <c r="I72" i="21"/>
  <c r="H73" i="21"/>
  <c r="I73" i="21"/>
  <c r="H74" i="21"/>
  <c r="I74" i="21"/>
  <c r="H75" i="21"/>
  <c r="I75" i="21"/>
  <c r="H76" i="21"/>
  <c r="I76" i="21"/>
  <c r="H77" i="21"/>
  <c r="I77" i="21"/>
  <c r="H78" i="21"/>
  <c r="I78" i="21"/>
  <c r="I54" i="21"/>
  <c r="H54" i="21"/>
  <c r="AI12" i="23" l="1"/>
  <c r="I27" i="13"/>
  <c r="I28" i="13"/>
  <c r="I29" i="13"/>
  <c r="I30" i="13"/>
  <c r="I31" i="13"/>
  <c r="I32" i="13"/>
  <c r="I33" i="13"/>
  <c r="I34" i="13"/>
  <c r="I35" i="13"/>
  <c r="I36" i="13"/>
  <c r="I37" i="13"/>
  <c r="I38" i="13"/>
  <c r="I39" i="13"/>
  <c r="I40" i="13"/>
  <c r="I41" i="13"/>
  <c r="I42" i="13"/>
  <c r="I43" i="13"/>
  <c r="I44" i="13"/>
  <c r="I45" i="13"/>
  <c r="I46" i="13"/>
  <c r="I47" i="13"/>
  <c r="I48" i="13"/>
  <c r="I49" i="13"/>
  <c r="I50" i="13"/>
  <c r="I26" i="13"/>
  <c r="I55" i="13"/>
  <c r="I56" i="13"/>
  <c r="I57" i="13"/>
  <c r="I58" i="13"/>
  <c r="I59" i="13"/>
  <c r="I60" i="13"/>
  <c r="I61" i="13"/>
  <c r="I62" i="13"/>
  <c r="I63" i="13"/>
  <c r="I64" i="13"/>
  <c r="I65" i="13"/>
  <c r="I66" i="13"/>
  <c r="I67" i="13"/>
  <c r="I68" i="13"/>
  <c r="I69" i="13"/>
  <c r="I70" i="13"/>
  <c r="I71" i="13"/>
  <c r="I72" i="13"/>
  <c r="I73" i="13"/>
  <c r="I74" i="13"/>
  <c r="I75" i="13"/>
  <c r="I76" i="13"/>
  <c r="I77" i="13"/>
  <c r="I78" i="13"/>
  <c r="I54" i="13"/>
  <c r="H57" i="13"/>
  <c r="H58" i="13"/>
  <c r="H59" i="13"/>
  <c r="H60" i="13"/>
  <c r="H61" i="13"/>
  <c r="H62" i="13"/>
  <c r="H63" i="13"/>
  <c r="H64" i="13"/>
  <c r="H65" i="13"/>
  <c r="H66" i="13"/>
  <c r="H67" i="13"/>
  <c r="H68" i="13"/>
  <c r="H69" i="13"/>
  <c r="H70" i="13"/>
  <c r="H71" i="13"/>
  <c r="H72" i="13"/>
  <c r="H73" i="13"/>
  <c r="H74" i="13"/>
  <c r="H75" i="13"/>
  <c r="H76" i="13"/>
  <c r="H77" i="13"/>
  <c r="H78" i="13"/>
  <c r="H55" i="13"/>
  <c r="H56" i="13"/>
  <c r="H54" i="13"/>
  <c r="C21" i="20" l="1"/>
  <c r="E21" i="20"/>
  <c r="C22" i="20"/>
  <c r="E22" i="20"/>
  <c r="C23" i="20"/>
  <c r="D23" i="20" s="1"/>
  <c r="E23" i="20"/>
  <c r="C24" i="20"/>
  <c r="D24" i="20" s="1"/>
  <c r="E24" i="20"/>
  <c r="C25" i="20"/>
  <c r="D25" i="20" s="1"/>
  <c r="E25" i="20"/>
  <c r="C26" i="20"/>
  <c r="D26" i="20" s="1"/>
  <c r="E26" i="20"/>
  <c r="C27" i="20"/>
  <c r="D27" i="20" s="1"/>
  <c r="E27" i="20"/>
  <c r="C28" i="20"/>
  <c r="D28" i="20" s="1"/>
  <c r="E28" i="20"/>
  <c r="C29" i="20"/>
  <c r="D29" i="20" s="1"/>
  <c r="E29" i="20"/>
  <c r="C30" i="20"/>
  <c r="D30" i="20" s="1"/>
  <c r="E30" i="20"/>
  <c r="C31" i="20"/>
  <c r="D31" i="20" s="1"/>
  <c r="E31" i="20"/>
  <c r="C32" i="20"/>
  <c r="D32" i="20" s="1"/>
  <c r="E32" i="20"/>
  <c r="C33" i="20"/>
  <c r="D33" i="20" s="1"/>
  <c r="E33" i="20"/>
  <c r="C34" i="20"/>
  <c r="D34" i="20" s="1"/>
  <c r="E34" i="20"/>
  <c r="C35" i="20"/>
  <c r="D35" i="20" s="1"/>
  <c r="E35" i="20"/>
  <c r="C36" i="20"/>
  <c r="D36" i="20" s="1"/>
  <c r="E36" i="20"/>
  <c r="C37" i="20"/>
  <c r="D37" i="20" s="1"/>
  <c r="E37" i="20"/>
  <c r="C38" i="20"/>
  <c r="D38" i="20" s="1"/>
  <c r="E38" i="20"/>
  <c r="C39" i="20"/>
  <c r="D39" i="20" s="1"/>
  <c r="E39" i="20"/>
  <c r="C40" i="20"/>
  <c r="D40" i="20" s="1"/>
  <c r="E40" i="20"/>
  <c r="C41" i="20"/>
  <c r="D41" i="20" s="1"/>
  <c r="E41" i="20"/>
  <c r="C42" i="20"/>
  <c r="E42" i="20"/>
  <c r="C43" i="20"/>
  <c r="E43" i="20"/>
  <c r="C44" i="20"/>
  <c r="E44" i="20"/>
  <c r="B3" i="20" l="1"/>
  <c r="B3" i="2"/>
  <c r="F53" i="20" l="1"/>
  <c r="C43" i="2"/>
  <c r="J111" i="14" l="1"/>
  <c r="D13" i="21" l="1"/>
  <c r="E44" i="6"/>
  <c r="E48" i="6"/>
  <c r="E52" i="6"/>
  <c r="E56" i="6"/>
  <c r="E64" i="6"/>
  <c r="E41" i="6"/>
  <c r="E42" i="6"/>
  <c r="E43" i="6"/>
  <c r="E45" i="6"/>
  <c r="E46" i="6"/>
  <c r="E47" i="6"/>
  <c r="E49" i="6"/>
  <c r="E50" i="6"/>
  <c r="E51" i="6"/>
  <c r="E53" i="6"/>
  <c r="E54" i="6"/>
  <c r="E55" i="6"/>
  <c r="E57" i="6"/>
  <c r="E58" i="6"/>
  <c r="E59" i="6"/>
  <c r="E60" i="6"/>
  <c r="E61" i="6"/>
  <c r="E62" i="6"/>
  <c r="E63" i="6"/>
  <c r="E20" i="20"/>
  <c r="E40" i="6" s="1"/>
  <c r="C64" i="6" l="1"/>
  <c r="F64" i="6"/>
  <c r="G64" i="6"/>
  <c r="J64" i="6"/>
  <c r="K64" i="6"/>
  <c r="L64" i="6"/>
  <c r="M64" i="6"/>
  <c r="N64" i="6"/>
  <c r="O64" i="6"/>
  <c r="X64" i="6"/>
  <c r="Z64" i="6" s="1"/>
  <c r="AA64" i="6"/>
  <c r="AB64" i="6"/>
  <c r="AC64" i="6" l="1"/>
  <c r="AD64" i="6"/>
  <c r="AP64" i="6"/>
  <c r="AU64" i="6" s="1"/>
  <c r="AE64" i="6"/>
  <c r="H64" i="6"/>
  <c r="Y64" i="6"/>
  <c r="AT64" i="6" l="1"/>
  <c r="AV64" i="6"/>
  <c r="AS64" i="6"/>
  <c r="AW64" i="6"/>
  <c r="AQ64" i="6"/>
  <c r="AR64" i="6"/>
  <c r="D6" i="21"/>
  <c r="D5" i="21"/>
  <c r="D5" i="13"/>
  <c r="S27" i="11"/>
  <c r="D6" i="13"/>
  <c r="F4" i="20"/>
  <c r="L15" i="20"/>
  <c r="F55" i="21"/>
  <c r="F56" i="21"/>
  <c r="F57" i="21"/>
  <c r="F58" i="21"/>
  <c r="F59" i="21"/>
  <c r="F60" i="21"/>
  <c r="F61" i="21"/>
  <c r="F62" i="21"/>
  <c r="F63" i="21"/>
  <c r="F64" i="21"/>
  <c r="F65" i="21"/>
  <c r="F66" i="21"/>
  <c r="F67" i="21"/>
  <c r="F68" i="21"/>
  <c r="F69" i="21"/>
  <c r="F70" i="21"/>
  <c r="F71" i="21"/>
  <c r="F72" i="21"/>
  <c r="F73" i="21"/>
  <c r="F74" i="21"/>
  <c r="F75" i="21"/>
  <c r="F76" i="21"/>
  <c r="F77" i="21"/>
  <c r="F78" i="21"/>
  <c r="F54" i="21"/>
  <c r="E55" i="21"/>
  <c r="E56" i="21"/>
  <c r="E57" i="21"/>
  <c r="E58" i="21"/>
  <c r="E59" i="21"/>
  <c r="E60" i="21"/>
  <c r="E61" i="21"/>
  <c r="E62" i="21"/>
  <c r="E63" i="21"/>
  <c r="E64" i="21"/>
  <c r="E65" i="21"/>
  <c r="E66" i="21"/>
  <c r="E67" i="21"/>
  <c r="E68" i="21"/>
  <c r="E69" i="21"/>
  <c r="E70" i="21"/>
  <c r="E71" i="21"/>
  <c r="E72" i="21"/>
  <c r="E73" i="21"/>
  <c r="E74" i="21"/>
  <c r="E75" i="21"/>
  <c r="E76" i="21"/>
  <c r="E77" i="21"/>
  <c r="E78" i="21"/>
  <c r="E54" i="21"/>
  <c r="C55" i="21"/>
  <c r="C56" i="21"/>
  <c r="C57" i="21"/>
  <c r="C58" i="21"/>
  <c r="C59" i="21"/>
  <c r="C60" i="21"/>
  <c r="C61" i="21"/>
  <c r="C62" i="21"/>
  <c r="C63" i="21"/>
  <c r="C64" i="21"/>
  <c r="C65" i="21"/>
  <c r="C66" i="21"/>
  <c r="C67" i="21"/>
  <c r="C68" i="21"/>
  <c r="C69" i="21"/>
  <c r="C70" i="21"/>
  <c r="C71" i="21"/>
  <c r="C72" i="21"/>
  <c r="C73" i="21"/>
  <c r="C74" i="21"/>
  <c r="C75" i="21"/>
  <c r="C76" i="21"/>
  <c r="C77" i="21"/>
  <c r="C78" i="21"/>
  <c r="C54" i="21"/>
  <c r="C27" i="21"/>
  <c r="E27" i="21" s="1"/>
  <c r="C28" i="21"/>
  <c r="E28" i="21" s="1"/>
  <c r="C29" i="21"/>
  <c r="E29" i="21" s="1"/>
  <c r="C30" i="21"/>
  <c r="E30" i="21" s="1"/>
  <c r="C31" i="21"/>
  <c r="E31" i="21" s="1"/>
  <c r="C32" i="21"/>
  <c r="E32" i="21" s="1"/>
  <c r="C33" i="21"/>
  <c r="E33" i="21" s="1"/>
  <c r="C34" i="21"/>
  <c r="E34" i="21" s="1"/>
  <c r="C35" i="21"/>
  <c r="E35" i="21" s="1"/>
  <c r="C36" i="21"/>
  <c r="E36" i="21" s="1"/>
  <c r="C37" i="21"/>
  <c r="E37" i="21" s="1"/>
  <c r="C38" i="21"/>
  <c r="E38" i="21" s="1"/>
  <c r="C39" i="21"/>
  <c r="E39" i="21" s="1"/>
  <c r="C40" i="21"/>
  <c r="E40" i="21" s="1"/>
  <c r="C41" i="21"/>
  <c r="E41" i="21" s="1"/>
  <c r="C42" i="21"/>
  <c r="E42" i="21" s="1"/>
  <c r="C43" i="21"/>
  <c r="E43" i="21" s="1"/>
  <c r="C44" i="21"/>
  <c r="E44" i="21" s="1"/>
  <c r="C45" i="21"/>
  <c r="E45" i="21" s="1"/>
  <c r="C46" i="21"/>
  <c r="E46" i="21" s="1"/>
  <c r="C47" i="21"/>
  <c r="E47" i="21" s="1"/>
  <c r="C48" i="21"/>
  <c r="E48" i="21" s="1"/>
  <c r="C49" i="21"/>
  <c r="E49" i="21" s="1"/>
  <c r="C50" i="21"/>
  <c r="E50" i="21" s="1"/>
  <c r="C26" i="21"/>
  <c r="E26" i="21" s="1"/>
  <c r="A55" i="2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27" i="2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E12" i="21"/>
  <c r="E11" i="21"/>
  <c r="C3" i="21"/>
  <c r="B1" i="21"/>
  <c r="AZ64" i="6" l="1"/>
  <c r="AY64" i="6"/>
  <c r="K90" i="9"/>
  <c r="K89" i="9"/>
  <c r="H91" i="9"/>
  <c r="K91" i="9"/>
  <c r="J91" i="9"/>
  <c r="F91" i="9"/>
  <c r="E91" i="9"/>
  <c r="I91" i="9"/>
  <c r="D91" i="9"/>
  <c r="D64" i="6"/>
  <c r="C20" i="20"/>
  <c r="I64" i="6" l="1"/>
  <c r="P64" i="6" s="1"/>
  <c r="T64" i="6" s="1"/>
  <c r="AH64" i="6"/>
  <c r="S64" i="6" l="1"/>
  <c r="W64" i="6" s="1"/>
  <c r="R64" i="6"/>
  <c r="V64" i="6" s="1"/>
  <c r="Q64" i="6"/>
  <c r="U64" i="6" s="1"/>
  <c r="AL64" i="6"/>
  <c r="AI64" i="6"/>
  <c r="AJ64" i="6"/>
  <c r="AM64" i="6" s="1"/>
  <c r="AK64" i="6"/>
  <c r="D44" i="20"/>
  <c r="G40" i="6"/>
  <c r="G41" i="6"/>
  <c r="G42" i="6"/>
  <c r="G43" i="6"/>
  <c r="G44" i="6"/>
  <c r="G45" i="6"/>
  <c r="G46" i="6"/>
  <c r="G47" i="6"/>
  <c r="G48" i="6"/>
  <c r="G49" i="6"/>
  <c r="G50" i="6"/>
  <c r="G51" i="6"/>
  <c r="G52" i="6"/>
  <c r="G53" i="6"/>
  <c r="G54" i="6"/>
  <c r="G55" i="6"/>
  <c r="G56" i="6"/>
  <c r="G57" i="6"/>
  <c r="G58" i="6"/>
  <c r="G59" i="6"/>
  <c r="G60" i="6"/>
  <c r="G61" i="6"/>
  <c r="G62" i="6"/>
  <c r="G63" i="6"/>
  <c r="D90" i="12"/>
  <c r="D84" i="12"/>
  <c r="D85" i="12"/>
  <c r="D86" i="12"/>
  <c r="D83" i="12"/>
  <c r="D76" i="12"/>
  <c r="D77" i="12"/>
  <c r="D78" i="12"/>
  <c r="D75" i="12"/>
  <c r="AF64" i="6" l="1"/>
  <c r="AX64" i="6"/>
  <c r="BA64" i="6"/>
  <c r="AO64" i="6"/>
  <c r="AN64" i="6"/>
  <c r="AL9" i="20"/>
  <c r="B16" i="20" s="1"/>
  <c r="BF64" i="6" l="1"/>
  <c r="BH64" i="6"/>
  <c r="BG64" i="6"/>
  <c r="BB64" i="6"/>
  <c r="BD64" i="6"/>
  <c r="BL64" i="6" s="1"/>
  <c r="BC64" i="6"/>
  <c r="BS64" i="6"/>
  <c r="BT64" i="6" s="1"/>
  <c r="AA41" i="6"/>
  <c r="AA42" i="6"/>
  <c r="AA43" i="6"/>
  <c r="AA44" i="6"/>
  <c r="AA45" i="6"/>
  <c r="AA46" i="6"/>
  <c r="AA47" i="6"/>
  <c r="AA48" i="6"/>
  <c r="AA49" i="6"/>
  <c r="AA50" i="6"/>
  <c r="AA51" i="6"/>
  <c r="AA52" i="6"/>
  <c r="AA53" i="6"/>
  <c r="AA54" i="6"/>
  <c r="AA55" i="6"/>
  <c r="AA56" i="6"/>
  <c r="AA57" i="6"/>
  <c r="AA58" i="6"/>
  <c r="AA59" i="6"/>
  <c r="AA60" i="6"/>
  <c r="AA61" i="6"/>
  <c r="AA62" i="6"/>
  <c r="AA63" i="6"/>
  <c r="AB41" i="6"/>
  <c r="AB42" i="6"/>
  <c r="AB43" i="6"/>
  <c r="AB44" i="6"/>
  <c r="AB45" i="6"/>
  <c r="AB46" i="6"/>
  <c r="AB47" i="6"/>
  <c r="AB48" i="6"/>
  <c r="AB49" i="6"/>
  <c r="AB50" i="6"/>
  <c r="AB51" i="6"/>
  <c r="AB52" i="6"/>
  <c r="AB53" i="6"/>
  <c r="AB54" i="6"/>
  <c r="AB55" i="6"/>
  <c r="AB56" i="6"/>
  <c r="AB57" i="6"/>
  <c r="AB58" i="6"/>
  <c r="AB59" i="6"/>
  <c r="AB60" i="6"/>
  <c r="AB61" i="6"/>
  <c r="AB62" i="6"/>
  <c r="AB63" i="6"/>
  <c r="AB40" i="6"/>
  <c r="AA40" i="6"/>
  <c r="BI64" i="6" l="1"/>
  <c r="BJ64" i="6" s="1"/>
  <c r="BP64" i="6" s="1"/>
  <c r="BE64" i="6"/>
  <c r="BO64" i="6" s="1"/>
  <c r="BU64" i="6"/>
  <c r="BR64" i="6"/>
  <c r="BK64" i="6"/>
  <c r="BM64" i="6"/>
  <c r="AD63" i="6"/>
  <c r="AC63" i="6"/>
  <c r="AD62" i="6"/>
  <c r="AC62" i="6"/>
  <c r="AC61" i="6"/>
  <c r="AD61" i="6"/>
  <c r="AD60" i="6"/>
  <c r="AC60" i="6"/>
  <c r="AC59" i="6"/>
  <c r="AD59" i="6"/>
  <c r="AD58" i="6"/>
  <c r="AC58" i="6"/>
  <c r="AC57" i="6"/>
  <c r="AD57" i="6"/>
  <c r="AC56" i="6"/>
  <c r="AD56" i="6"/>
  <c r="AD55" i="6"/>
  <c r="AC55" i="6"/>
  <c r="AD54" i="6"/>
  <c r="AC54" i="6"/>
  <c r="AC53" i="6"/>
  <c r="AD53" i="6"/>
  <c r="AC52" i="6"/>
  <c r="AD52" i="6"/>
  <c r="AD51" i="6"/>
  <c r="AC51" i="6"/>
  <c r="AC50" i="6"/>
  <c r="AD50" i="6"/>
  <c r="AD49" i="6"/>
  <c r="AC49" i="6"/>
  <c r="AC48" i="6"/>
  <c r="AD48" i="6"/>
  <c r="AD47" i="6"/>
  <c r="AC47" i="6"/>
  <c r="AC46" i="6"/>
  <c r="AD46" i="6"/>
  <c r="AC45" i="6"/>
  <c r="AD45" i="6"/>
  <c r="AC44" i="6"/>
  <c r="AD44" i="6"/>
  <c r="AD43" i="6"/>
  <c r="AC43" i="6"/>
  <c r="AC42" i="6"/>
  <c r="AD42" i="6"/>
  <c r="AC41" i="6"/>
  <c r="AD41" i="6"/>
  <c r="AD40" i="6"/>
  <c r="AC40" i="6"/>
  <c r="X41" i="6"/>
  <c r="Y41" i="6" s="1"/>
  <c r="X42" i="6"/>
  <c r="Y42" i="6" s="1"/>
  <c r="X43" i="6"/>
  <c r="X44" i="6"/>
  <c r="Z44" i="6" s="1"/>
  <c r="X45" i="6"/>
  <c r="Y45" i="6" s="1"/>
  <c r="X46" i="6"/>
  <c r="Y46" i="6" s="1"/>
  <c r="X47" i="6"/>
  <c r="Z47" i="6" s="1"/>
  <c r="X48" i="6"/>
  <c r="Z48" i="6" s="1"/>
  <c r="X49" i="6"/>
  <c r="Y49" i="6" s="1"/>
  <c r="X50" i="6"/>
  <c r="Y50" i="6" s="1"/>
  <c r="X51" i="6"/>
  <c r="Z51" i="6" s="1"/>
  <c r="X52" i="6"/>
  <c r="Z52" i="6" s="1"/>
  <c r="X53" i="6"/>
  <c r="Y53" i="6" s="1"/>
  <c r="X54" i="6"/>
  <c r="Z54" i="6" s="1"/>
  <c r="X55" i="6"/>
  <c r="Z55" i="6" s="1"/>
  <c r="X56" i="6"/>
  <c r="Z56" i="6" s="1"/>
  <c r="X57" i="6"/>
  <c r="Y57" i="6" s="1"/>
  <c r="X58" i="6"/>
  <c r="X59" i="6"/>
  <c r="Y59" i="6" s="1"/>
  <c r="X60" i="6"/>
  <c r="Z60" i="6" s="1"/>
  <c r="X61" i="6"/>
  <c r="Y61" i="6" s="1"/>
  <c r="X62" i="6"/>
  <c r="X63" i="6"/>
  <c r="Z63" i="6" s="1"/>
  <c r="X40" i="6"/>
  <c r="Z40" i="6" s="1"/>
  <c r="Z24" i="20"/>
  <c r="Z25" i="20"/>
  <c r="Z26" i="20"/>
  <c r="Z27" i="20"/>
  <c r="Z28" i="20"/>
  <c r="Z29" i="20"/>
  <c r="Z30" i="20"/>
  <c r="Z31" i="20"/>
  <c r="Z32" i="20"/>
  <c r="Z33" i="20"/>
  <c r="Z34" i="20"/>
  <c r="Z35" i="20"/>
  <c r="Z36" i="20"/>
  <c r="Z37" i="20"/>
  <c r="Z38" i="20"/>
  <c r="Z39" i="20"/>
  <c r="Z41" i="20"/>
  <c r="Z44" i="20"/>
  <c r="O41" i="6"/>
  <c r="O42" i="6"/>
  <c r="O43" i="6"/>
  <c r="O44" i="6"/>
  <c r="O45" i="6"/>
  <c r="O46" i="6"/>
  <c r="O47" i="6"/>
  <c r="O48" i="6"/>
  <c r="O49" i="6"/>
  <c r="O50" i="6"/>
  <c r="O51" i="6"/>
  <c r="O52" i="6"/>
  <c r="O53" i="6"/>
  <c r="O54" i="6"/>
  <c r="O55" i="6"/>
  <c r="O56" i="6"/>
  <c r="O57" i="6"/>
  <c r="O58" i="6"/>
  <c r="O59" i="6"/>
  <c r="O60" i="6"/>
  <c r="O61" i="6"/>
  <c r="O62" i="6"/>
  <c r="O63" i="6"/>
  <c r="O40" i="6"/>
  <c r="N41" i="6"/>
  <c r="N42" i="6"/>
  <c r="N43" i="6"/>
  <c r="N44" i="6"/>
  <c r="N45" i="6"/>
  <c r="N46" i="6"/>
  <c r="N47" i="6"/>
  <c r="N48" i="6"/>
  <c r="N49" i="6"/>
  <c r="N50" i="6"/>
  <c r="N51" i="6"/>
  <c r="N52" i="6"/>
  <c r="N53" i="6"/>
  <c r="N54" i="6"/>
  <c r="N55" i="6"/>
  <c r="N56" i="6"/>
  <c r="N57" i="6"/>
  <c r="N58" i="6"/>
  <c r="N59" i="6"/>
  <c r="N60" i="6"/>
  <c r="N61" i="6"/>
  <c r="N62" i="6"/>
  <c r="N63" i="6"/>
  <c r="N40" i="6"/>
  <c r="M41" i="6"/>
  <c r="M42" i="6"/>
  <c r="M43" i="6"/>
  <c r="M44" i="6"/>
  <c r="M45" i="6"/>
  <c r="M46" i="6"/>
  <c r="M47" i="6"/>
  <c r="M48" i="6"/>
  <c r="M49" i="6"/>
  <c r="M50" i="6"/>
  <c r="M51" i="6"/>
  <c r="M52" i="6"/>
  <c r="M53" i="6"/>
  <c r="M54" i="6"/>
  <c r="M55" i="6"/>
  <c r="M56" i="6"/>
  <c r="M57" i="6"/>
  <c r="M58" i="6"/>
  <c r="M59" i="6"/>
  <c r="M60" i="6"/>
  <c r="M61" i="6"/>
  <c r="M62" i="6"/>
  <c r="M63" i="6"/>
  <c r="M40" i="6"/>
  <c r="L41" i="6"/>
  <c r="L42" i="6"/>
  <c r="L43" i="6"/>
  <c r="L44" i="6"/>
  <c r="L45" i="6"/>
  <c r="L46" i="6"/>
  <c r="L47" i="6"/>
  <c r="L48" i="6"/>
  <c r="L49" i="6"/>
  <c r="L50" i="6"/>
  <c r="L51" i="6"/>
  <c r="L52" i="6"/>
  <c r="L53" i="6"/>
  <c r="L54" i="6"/>
  <c r="L55" i="6"/>
  <c r="L56" i="6"/>
  <c r="L57" i="6"/>
  <c r="L58" i="6"/>
  <c r="L59" i="6"/>
  <c r="L60" i="6"/>
  <c r="L61" i="6"/>
  <c r="L62" i="6"/>
  <c r="L63" i="6"/>
  <c r="L40" i="6"/>
  <c r="K7" i="6"/>
  <c r="K41" i="6"/>
  <c r="AP41" i="6" s="1"/>
  <c r="K42" i="6"/>
  <c r="AP42" i="6" s="1"/>
  <c r="K43" i="6"/>
  <c r="AP43" i="6" s="1"/>
  <c r="K44" i="6"/>
  <c r="AP44" i="6" s="1"/>
  <c r="K45" i="6"/>
  <c r="AP45" i="6" s="1"/>
  <c r="K46" i="6"/>
  <c r="AP46" i="6" s="1"/>
  <c r="K47" i="6"/>
  <c r="AP47" i="6" s="1"/>
  <c r="K48" i="6"/>
  <c r="AP48" i="6" s="1"/>
  <c r="K49" i="6"/>
  <c r="AP49" i="6" s="1"/>
  <c r="K50" i="6"/>
  <c r="AP50" i="6" s="1"/>
  <c r="K51" i="6"/>
  <c r="AP51" i="6" s="1"/>
  <c r="K52" i="6"/>
  <c r="AP52" i="6" s="1"/>
  <c r="K53" i="6"/>
  <c r="AP53" i="6" s="1"/>
  <c r="K54" i="6"/>
  <c r="AP54" i="6" s="1"/>
  <c r="K55" i="6"/>
  <c r="AP55" i="6" s="1"/>
  <c r="K56" i="6"/>
  <c r="AP56" i="6" s="1"/>
  <c r="K57" i="6"/>
  <c r="AP57" i="6" s="1"/>
  <c r="K58" i="6"/>
  <c r="AP58" i="6" s="1"/>
  <c r="K59" i="6"/>
  <c r="AP59" i="6" s="1"/>
  <c r="K60" i="6"/>
  <c r="AP60" i="6" s="1"/>
  <c r="K61" i="6"/>
  <c r="AP61" i="6" s="1"/>
  <c r="K62" i="6"/>
  <c r="AP62" i="6" s="1"/>
  <c r="K63" i="6"/>
  <c r="AP63" i="6" s="1"/>
  <c r="K40" i="6"/>
  <c r="AP40" i="6" s="1"/>
  <c r="J41" i="6"/>
  <c r="J42" i="6"/>
  <c r="J43" i="6"/>
  <c r="J44" i="6"/>
  <c r="J45" i="6"/>
  <c r="J46" i="6"/>
  <c r="J47" i="6"/>
  <c r="J48" i="6"/>
  <c r="J49" i="6"/>
  <c r="J50" i="6"/>
  <c r="J51" i="6"/>
  <c r="J52" i="6"/>
  <c r="J53" i="6"/>
  <c r="J54" i="6"/>
  <c r="J55" i="6"/>
  <c r="J56" i="6"/>
  <c r="J57" i="6"/>
  <c r="J58" i="6"/>
  <c r="J59" i="6"/>
  <c r="J60" i="6"/>
  <c r="J61" i="6"/>
  <c r="J62" i="6"/>
  <c r="J63" i="6"/>
  <c r="J40" i="6"/>
  <c r="F41" i="6"/>
  <c r="H41" i="6" s="1"/>
  <c r="F42" i="6"/>
  <c r="H42" i="6" s="1"/>
  <c r="F43" i="6"/>
  <c r="H43" i="6" s="1"/>
  <c r="F44" i="6"/>
  <c r="H44" i="6" s="1"/>
  <c r="F45" i="6"/>
  <c r="H45" i="6" s="1"/>
  <c r="F46" i="6"/>
  <c r="H46" i="6" s="1"/>
  <c r="F47" i="6"/>
  <c r="H47" i="6" s="1"/>
  <c r="F48" i="6"/>
  <c r="H48" i="6" s="1"/>
  <c r="F49" i="6"/>
  <c r="H49" i="6" s="1"/>
  <c r="F50" i="6"/>
  <c r="H50" i="6" s="1"/>
  <c r="F51" i="6"/>
  <c r="H51" i="6" s="1"/>
  <c r="F52" i="6"/>
  <c r="H52" i="6" s="1"/>
  <c r="F53" i="6"/>
  <c r="H53" i="6" s="1"/>
  <c r="F54" i="6"/>
  <c r="H54" i="6" s="1"/>
  <c r="F55" i="6"/>
  <c r="H55" i="6" s="1"/>
  <c r="F56" i="6"/>
  <c r="H56" i="6" s="1"/>
  <c r="F57" i="6"/>
  <c r="H57" i="6" s="1"/>
  <c r="F58" i="6"/>
  <c r="H58" i="6" s="1"/>
  <c r="F59" i="6"/>
  <c r="H59" i="6" s="1"/>
  <c r="F60" i="6"/>
  <c r="H60" i="6" s="1"/>
  <c r="F61" i="6"/>
  <c r="H61" i="6" s="1"/>
  <c r="F62" i="6"/>
  <c r="H62" i="6" s="1"/>
  <c r="F63" i="6"/>
  <c r="H63" i="6" s="1"/>
  <c r="F40" i="6"/>
  <c r="H40" i="6" s="1"/>
  <c r="D41" i="6"/>
  <c r="D42" i="6"/>
  <c r="D43" i="6"/>
  <c r="D44" i="6"/>
  <c r="D45" i="6"/>
  <c r="D46" i="6"/>
  <c r="D47" i="6"/>
  <c r="D48" i="6"/>
  <c r="D49" i="6"/>
  <c r="D50" i="6"/>
  <c r="D51" i="6"/>
  <c r="D52" i="6"/>
  <c r="D53" i="6"/>
  <c r="D54" i="6"/>
  <c r="D55" i="6"/>
  <c r="D56" i="6"/>
  <c r="D57" i="6"/>
  <c r="D58" i="6"/>
  <c r="D59" i="6"/>
  <c r="D60" i="6"/>
  <c r="D61" i="6"/>
  <c r="D62" i="6"/>
  <c r="D63" i="6"/>
  <c r="D40" i="6"/>
  <c r="C41" i="6"/>
  <c r="C42" i="6"/>
  <c r="C43" i="6"/>
  <c r="C44" i="6"/>
  <c r="C45" i="6"/>
  <c r="C46" i="6"/>
  <c r="C47" i="6"/>
  <c r="C48" i="6"/>
  <c r="C49" i="6"/>
  <c r="C50" i="6"/>
  <c r="C51" i="6"/>
  <c r="C52" i="6"/>
  <c r="C53" i="6"/>
  <c r="C54" i="6"/>
  <c r="C55" i="6"/>
  <c r="C56" i="6"/>
  <c r="C57" i="6"/>
  <c r="C58" i="6"/>
  <c r="C59" i="6"/>
  <c r="C60" i="6"/>
  <c r="C61" i="6"/>
  <c r="C62" i="6"/>
  <c r="C63" i="6"/>
  <c r="C40" i="6"/>
  <c r="BQ64" i="6" l="1"/>
  <c r="BN64" i="6"/>
  <c r="CA64" i="6"/>
  <c r="BZ64" i="6"/>
  <c r="AH63" i="6"/>
  <c r="AQ63" i="6"/>
  <c r="AU63" i="6"/>
  <c r="AR63" i="6"/>
  <c r="AV63" i="6"/>
  <c r="AS63" i="6"/>
  <c r="AW63" i="6"/>
  <c r="AT63" i="6"/>
  <c r="AH62" i="6"/>
  <c r="AQ62" i="6"/>
  <c r="AU62" i="6"/>
  <c r="AV62" i="6"/>
  <c r="AS62" i="6"/>
  <c r="AR62" i="6"/>
  <c r="AW62" i="6"/>
  <c r="AT62" i="6"/>
  <c r="AH61" i="6"/>
  <c r="AQ61" i="6"/>
  <c r="AU61" i="6"/>
  <c r="AR61" i="6"/>
  <c r="AV61" i="6"/>
  <c r="AW61" i="6"/>
  <c r="AT61" i="6"/>
  <c r="AS61" i="6"/>
  <c r="AH60" i="6"/>
  <c r="AQ60" i="6"/>
  <c r="AU60" i="6"/>
  <c r="AR60" i="6"/>
  <c r="AV60" i="6"/>
  <c r="AS60" i="6"/>
  <c r="AW60" i="6"/>
  <c r="AT60" i="6"/>
  <c r="AH59" i="6"/>
  <c r="AQ59" i="6"/>
  <c r="AU59" i="6"/>
  <c r="AR59" i="6"/>
  <c r="AV59" i="6"/>
  <c r="AS59" i="6"/>
  <c r="AW59" i="6"/>
  <c r="AT59" i="6"/>
  <c r="AH58" i="6"/>
  <c r="AQ58" i="6"/>
  <c r="AU58" i="6"/>
  <c r="AR58" i="6"/>
  <c r="AV58" i="6"/>
  <c r="AW58" i="6"/>
  <c r="AS58" i="6"/>
  <c r="AT58" i="6"/>
  <c r="AH57" i="6"/>
  <c r="AQ57" i="6"/>
  <c r="AU57" i="6"/>
  <c r="AR57" i="6"/>
  <c r="AV57" i="6"/>
  <c r="AS57" i="6"/>
  <c r="AW57" i="6"/>
  <c r="AT57" i="6"/>
  <c r="AH56" i="6"/>
  <c r="AQ56" i="6"/>
  <c r="AU56" i="6"/>
  <c r="AR56" i="6"/>
  <c r="AV56" i="6"/>
  <c r="AS56" i="6"/>
  <c r="AW56" i="6"/>
  <c r="AT56" i="6"/>
  <c r="AH55" i="6"/>
  <c r="AQ55" i="6"/>
  <c r="AU55" i="6"/>
  <c r="AR55" i="6"/>
  <c r="AV55" i="6"/>
  <c r="AS55" i="6"/>
  <c r="AW55" i="6"/>
  <c r="AT55" i="6"/>
  <c r="AH54" i="6"/>
  <c r="AQ54" i="6"/>
  <c r="AU54" i="6"/>
  <c r="AV54" i="6"/>
  <c r="AR54" i="6"/>
  <c r="AS54" i="6"/>
  <c r="AW54" i="6"/>
  <c r="AT54" i="6"/>
  <c r="AH53" i="6"/>
  <c r="AQ53" i="6"/>
  <c r="AU53" i="6"/>
  <c r="AV53" i="6"/>
  <c r="AR53" i="6"/>
  <c r="AS53" i="6"/>
  <c r="AW53" i="6"/>
  <c r="AT53" i="6"/>
  <c r="AH52" i="6"/>
  <c r="AQ52" i="6"/>
  <c r="AU52" i="6"/>
  <c r="AR52" i="6"/>
  <c r="AV52" i="6"/>
  <c r="AS52" i="6"/>
  <c r="AW52" i="6"/>
  <c r="AT52" i="6"/>
  <c r="AH51" i="6"/>
  <c r="AQ51" i="6"/>
  <c r="AU51" i="6"/>
  <c r="AR51" i="6"/>
  <c r="AV51" i="6"/>
  <c r="AS51" i="6"/>
  <c r="AW51" i="6"/>
  <c r="AT51" i="6"/>
  <c r="AH50" i="6"/>
  <c r="AQ50" i="6"/>
  <c r="AU50" i="6"/>
  <c r="AR50" i="6"/>
  <c r="AV50" i="6"/>
  <c r="AS50" i="6"/>
  <c r="AW50" i="6"/>
  <c r="AT50" i="6"/>
  <c r="AH49" i="6"/>
  <c r="AQ49" i="6"/>
  <c r="AU49" i="6"/>
  <c r="AR49" i="6"/>
  <c r="AV49" i="6"/>
  <c r="AS49" i="6"/>
  <c r="AW49" i="6"/>
  <c r="AT49" i="6"/>
  <c r="AH48" i="6"/>
  <c r="AQ48" i="6"/>
  <c r="AU48" i="6"/>
  <c r="AR48" i="6"/>
  <c r="AV48" i="6"/>
  <c r="AS48" i="6"/>
  <c r="AW48" i="6"/>
  <c r="AT48" i="6"/>
  <c r="AH47" i="6"/>
  <c r="AQ47" i="6"/>
  <c r="AU47" i="6"/>
  <c r="AR47" i="6"/>
  <c r="AV47" i="6"/>
  <c r="AS47" i="6"/>
  <c r="AW47" i="6"/>
  <c r="AT47" i="6"/>
  <c r="AH46" i="6"/>
  <c r="AQ46" i="6"/>
  <c r="AU46" i="6"/>
  <c r="AR46" i="6"/>
  <c r="AV46" i="6"/>
  <c r="AS46" i="6"/>
  <c r="AW46" i="6"/>
  <c r="AT46" i="6"/>
  <c r="AH45" i="6"/>
  <c r="AQ45" i="6"/>
  <c r="AU45" i="6"/>
  <c r="AR45" i="6"/>
  <c r="AV45" i="6"/>
  <c r="AS45" i="6"/>
  <c r="AW45" i="6"/>
  <c r="AT45" i="6"/>
  <c r="AH44" i="6"/>
  <c r="AQ44" i="6"/>
  <c r="AU44" i="6"/>
  <c r="AR44" i="6"/>
  <c r="AV44" i="6"/>
  <c r="AS44" i="6"/>
  <c r="AW44" i="6"/>
  <c r="AT44" i="6"/>
  <c r="AH43" i="6"/>
  <c r="AQ43" i="6"/>
  <c r="AU43" i="6"/>
  <c r="AR43" i="6"/>
  <c r="AV43" i="6"/>
  <c r="AS43" i="6"/>
  <c r="AW43" i="6"/>
  <c r="AT43" i="6"/>
  <c r="AH42" i="6"/>
  <c r="AQ42" i="6"/>
  <c r="AU42" i="6"/>
  <c r="AR42" i="6"/>
  <c r="AV42" i="6"/>
  <c r="AS42" i="6"/>
  <c r="AW42" i="6"/>
  <c r="AT42" i="6"/>
  <c r="AH41" i="6"/>
  <c r="AQ41" i="6"/>
  <c r="AU41" i="6"/>
  <c r="AR41" i="6"/>
  <c r="AV41" i="6"/>
  <c r="AS41" i="6"/>
  <c r="AW41" i="6"/>
  <c r="AT41" i="6"/>
  <c r="AW40" i="6"/>
  <c r="AS40" i="6"/>
  <c r="AV40" i="6"/>
  <c r="AR40" i="6"/>
  <c r="AQ40" i="6"/>
  <c r="AU40" i="6"/>
  <c r="AT40" i="6"/>
  <c r="AE60" i="6"/>
  <c r="AE56" i="6"/>
  <c r="AE52" i="6"/>
  <c r="AE48" i="6"/>
  <c r="AE44" i="6"/>
  <c r="AH40" i="6"/>
  <c r="AE40" i="6"/>
  <c r="AE63" i="6"/>
  <c r="AE59" i="6"/>
  <c r="AE55" i="6"/>
  <c r="AE51" i="6"/>
  <c r="AE47" i="6"/>
  <c r="AE62" i="6"/>
  <c r="AE58" i="6"/>
  <c r="AE54" i="6"/>
  <c r="AE50" i="6"/>
  <c r="AE46" i="6"/>
  <c r="AE43" i="6"/>
  <c r="AE61" i="6"/>
  <c r="AE57" i="6"/>
  <c r="AE53" i="6"/>
  <c r="AE49" i="6"/>
  <c r="AE45" i="6"/>
  <c r="AE41" i="6"/>
  <c r="AE42" i="6"/>
  <c r="Y60" i="6"/>
  <c r="I53" i="6"/>
  <c r="I49" i="6"/>
  <c r="Z57" i="6"/>
  <c r="Z41" i="6"/>
  <c r="Z61" i="6"/>
  <c r="Z42" i="6"/>
  <c r="Z50" i="6"/>
  <c r="Z46" i="6"/>
  <c r="Y54" i="6"/>
  <c r="Y63" i="6"/>
  <c r="Z59" i="6"/>
  <c r="I45" i="6"/>
  <c r="I62" i="6"/>
  <c r="I42" i="6"/>
  <c r="I51" i="6"/>
  <c r="I47" i="6"/>
  <c r="I43" i="6"/>
  <c r="Y51" i="6"/>
  <c r="I61" i="6"/>
  <c r="I57" i="6"/>
  <c r="Y47" i="6"/>
  <c r="I48" i="6"/>
  <c r="I60" i="6"/>
  <c r="I56" i="6"/>
  <c r="I52" i="6"/>
  <c r="I44" i="6"/>
  <c r="Y58" i="6"/>
  <c r="Z58" i="6"/>
  <c r="I41" i="6"/>
  <c r="Y43" i="6"/>
  <c r="Z43" i="6"/>
  <c r="I58" i="6"/>
  <c r="Y40" i="6"/>
  <c r="I46" i="6"/>
  <c r="Z45" i="6"/>
  <c r="Z49" i="6"/>
  <c r="I50" i="6"/>
  <c r="Z53" i="6"/>
  <c r="I54" i="6"/>
  <c r="Y55" i="6"/>
  <c r="Y62" i="6"/>
  <c r="Z62" i="6"/>
  <c r="Y44" i="6"/>
  <c r="Y48" i="6"/>
  <c r="Y52" i="6"/>
  <c r="I55" i="6"/>
  <c r="Y56" i="6"/>
  <c r="I59" i="6"/>
  <c r="I63" i="6"/>
  <c r="AI53" i="20"/>
  <c r="C53" i="20"/>
  <c r="U44" i="20"/>
  <c r="AI44" i="20" s="1"/>
  <c r="U43" i="20"/>
  <c r="U42" i="20"/>
  <c r="U41" i="20"/>
  <c r="U40" i="20"/>
  <c r="U39" i="20"/>
  <c r="AI39" i="20" s="1"/>
  <c r="U38" i="20"/>
  <c r="AI38" i="20" s="1"/>
  <c r="U37" i="20"/>
  <c r="AI37" i="20" s="1"/>
  <c r="U36" i="20"/>
  <c r="AI36" i="20" s="1"/>
  <c r="U35" i="20"/>
  <c r="U34" i="20"/>
  <c r="U33" i="20"/>
  <c r="U32" i="20"/>
  <c r="U31" i="20"/>
  <c r="AI31" i="20" s="1"/>
  <c r="U30" i="20"/>
  <c r="AI30" i="20" s="1"/>
  <c r="U29" i="20"/>
  <c r="AI29" i="20" s="1"/>
  <c r="U28" i="20"/>
  <c r="AI28" i="20" s="1"/>
  <c r="U27" i="20"/>
  <c r="AI27" i="20" s="1"/>
  <c r="U26" i="20"/>
  <c r="AI26" i="20" s="1"/>
  <c r="U25" i="20"/>
  <c r="AI25" i="20" s="1"/>
  <c r="U24" i="20"/>
  <c r="AI24" i="20" s="1"/>
  <c r="U23" i="20"/>
  <c r="V23" i="20" s="1"/>
  <c r="U22" i="20"/>
  <c r="V22" i="20" s="1"/>
  <c r="U21" i="20"/>
  <c r="U20" i="20"/>
  <c r="V20" i="20" s="1"/>
  <c r="AH16" i="20"/>
  <c r="C4" i="20"/>
  <c r="B2" i="20"/>
  <c r="K8" i="6"/>
  <c r="K9" i="6"/>
  <c r="K10" i="6"/>
  <c r="K12" i="6"/>
  <c r="K13" i="6"/>
  <c r="K15" i="6"/>
  <c r="K16" i="6"/>
  <c r="K17" i="6"/>
  <c r="K18" i="6"/>
  <c r="K19" i="6"/>
  <c r="K20" i="6"/>
  <c r="K21" i="6"/>
  <c r="K22" i="6"/>
  <c r="K23" i="6"/>
  <c r="K24" i="6"/>
  <c r="K25" i="6"/>
  <c r="K26" i="6"/>
  <c r="K28" i="6"/>
  <c r="K29" i="6"/>
  <c r="K30" i="6"/>
  <c r="K31" i="6"/>
  <c r="L7" i="6"/>
  <c r="L8" i="6"/>
  <c r="L9" i="6"/>
  <c r="L10" i="6"/>
  <c r="L11" i="6"/>
  <c r="K11" i="6" s="1"/>
  <c r="L12" i="6"/>
  <c r="L13" i="6"/>
  <c r="L14" i="6"/>
  <c r="K14" i="6" s="1"/>
  <c r="L15" i="6"/>
  <c r="L16" i="6"/>
  <c r="L17" i="6"/>
  <c r="L18" i="6"/>
  <c r="L19" i="6"/>
  <c r="L20" i="6"/>
  <c r="L21" i="6"/>
  <c r="L22" i="6"/>
  <c r="L23" i="6"/>
  <c r="L24" i="6"/>
  <c r="L25" i="6"/>
  <c r="L26" i="6"/>
  <c r="L27" i="6"/>
  <c r="K27" i="6" s="1"/>
  <c r="L28" i="6"/>
  <c r="L29" i="6"/>
  <c r="L30" i="6"/>
  <c r="L31" i="6"/>
  <c r="AL63" i="6" l="1"/>
  <c r="AI63" i="6"/>
  <c r="AJ63" i="6"/>
  <c r="AM63" i="6" s="1"/>
  <c r="AK63" i="6"/>
  <c r="D43" i="20"/>
  <c r="Z43" i="20"/>
  <c r="AZ63" i="6"/>
  <c r="AY63" i="6"/>
  <c r="AL62" i="6"/>
  <c r="AI62" i="6"/>
  <c r="AJ62" i="6"/>
  <c r="AM62" i="6" s="1"/>
  <c r="AK62" i="6"/>
  <c r="D42" i="20"/>
  <c r="Z42" i="20"/>
  <c r="AY62" i="6"/>
  <c r="AZ62" i="6"/>
  <c r="AL61" i="6"/>
  <c r="AM61" i="6"/>
  <c r="AX61" i="6" s="1"/>
  <c r="AN61" i="6"/>
  <c r="AI61" i="6"/>
  <c r="AJ61" i="6"/>
  <c r="AK61" i="6"/>
  <c r="AO61" i="6"/>
  <c r="AY61" i="6"/>
  <c r="AZ61" i="6"/>
  <c r="BA61" i="6"/>
  <c r="Z40" i="20"/>
  <c r="AL60" i="6"/>
  <c r="AM60" i="6"/>
  <c r="AX60" i="6" s="1"/>
  <c r="AN60" i="6"/>
  <c r="AI60" i="6"/>
  <c r="AJ60" i="6"/>
  <c r="AK60" i="6"/>
  <c r="AO60" i="6"/>
  <c r="AY60" i="6"/>
  <c r="BA60" i="6"/>
  <c r="AZ60" i="6"/>
  <c r="AL59" i="6"/>
  <c r="AM59" i="6"/>
  <c r="AX59" i="6" s="1"/>
  <c r="AI59" i="6"/>
  <c r="AJ59" i="6"/>
  <c r="AN59" i="6"/>
  <c r="AK59" i="6"/>
  <c r="AO59" i="6"/>
  <c r="AY59" i="6"/>
  <c r="AZ59" i="6"/>
  <c r="BA59" i="6"/>
  <c r="AL58" i="6"/>
  <c r="AM58" i="6"/>
  <c r="AX58" i="6" s="1"/>
  <c r="AI58" i="6"/>
  <c r="AJ58" i="6"/>
  <c r="AN58" i="6"/>
  <c r="AK58" i="6"/>
  <c r="AO58" i="6"/>
  <c r="AY58" i="6"/>
  <c r="AZ58" i="6"/>
  <c r="BA58" i="6"/>
  <c r="BA57" i="6"/>
  <c r="AY57" i="6"/>
  <c r="AZ57" i="6"/>
  <c r="AL57" i="6"/>
  <c r="AM57" i="6"/>
  <c r="AX57" i="6" s="1"/>
  <c r="AI57" i="6"/>
  <c r="AJ57" i="6"/>
  <c r="AN57" i="6"/>
  <c r="AK57" i="6"/>
  <c r="AO57" i="6"/>
  <c r="AL56" i="6"/>
  <c r="AI56" i="6"/>
  <c r="AM56" i="6"/>
  <c r="AX56" i="6" s="1"/>
  <c r="AJ56" i="6"/>
  <c r="AN56" i="6"/>
  <c r="AK56" i="6"/>
  <c r="AO56" i="6"/>
  <c r="AY56" i="6"/>
  <c r="AZ56" i="6"/>
  <c r="BA56" i="6"/>
  <c r="AL55" i="6"/>
  <c r="AI55" i="6"/>
  <c r="AM55" i="6"/>
  <c r="AX55" i="6" s="1"/>
  <c r="AJ55" i="6"/>
  <c r="AN55" i="6"/>
  <c r="AK55" i="6"/>
  <c r="AO55" i="6"/>
  <c r="BA55" i="6"/>
  <c r="AY55" i="6"/>
  <c r="AZ55" i="6"/>
  <c r="AL54" i="6"/>
  <c r="AI54" i="6"/>
  <c r="AM54" i="6"/>
  <c r="AX54" i="6" s="1"/>
  <c r="AJ54" i="6"/>
  <c r="AN54" i="6"/>
  <c r="AK54" i="6"/>
  <c r="AO54" i="6"/>
  <c r="AZ54" i="6"/>
  <c r="BA54" i="6"/>
  <c r="AY54" i="6"/>
  <c r="AL53" i="6"/>
  <c r="AI53" i="6"/>
  <c r="AM53" i="6"/>
  <c r="AX53" i="6" s="1"/>
  <c r="AJ53" i="6"/>
  <c r="AN53" i="6"/>
  <c r="AK53" i="6"/>
  <c r="AO53" i="6"/>
  <c r="AZ53" i="6"/>
  <c r="AY53" i="6"/>
  <c r="BA53" i="6"/>
  <c r="AL52" i="6"/>
  <c r="AI52" i="6"/>
  <c r="AM52" i="6"/>
  <c r="AX52" i="6" s="1"/>
  <c r="AJ52" i="6"/>
  <c r="AN52" i="6"/>
  <c r="AK52" i="6"/>
  <c r="AO52" i="6"/>
  <c r="AZ52" i="6"/>
  <c r="BA52" i="6"/>
  <c r="AY52" i="6"/>
  <c r="AL51" i="6"/>
  <c r="AM51" i="6"/>
  <c r="AX51" i="6" s="1"/>
  <c r="AO51" i="6"/>
  <c r="AI51" i="6"/>
  <c r="AK51" i="6"/>
  <c r="AJ51" i="6"/>
  <c r="AN51" i="6"/>
  <c r="AZ51" i="6"/>
  <c r="AY51" i="6"/>
  <c r="BA51" i="6"/>
  <c r="AL50" i="6"/>
  <c r="AI50" i="6"/>
  <c r="AM50" i="6"/>
  <c r="AX50" i="6" s="1"/>
  <c r="AJ50" i="6"/>
  <c r="AN50" i="6"/>
  <c r="AK50" i="6"/>
  <c r="AO50" i="6"/>
  <c r="AZ50" i="6"/>
  <c r="AY50" i="6"/>
  <c r="BA50" i="6"/>
  <c r="AL49" i="6"/>
  <c r="AI49" i="6"/>
  <c r="AM49" i="6"/>
  <c r="AX49" i="6" s="1"/>
  <c r="AJ49" i="6"/>
  <c r="AN49" i="6"/>
  <c r="AK49" i="6"/>
  <c r="AO49" i="6"/>
  <c r="AZ49" i="6"/>
  <c r="BA49" i="6"/>
  <c r="AY49" i="6"/>
  <c r="AL48" i="6"/>
  <c r="AI48" i="6"/>
  <c r="AM48" i="6"/>
  <c r="AX48" i="6" s="1"/>
  <c r="AJ48" i="6"/>
  <c r="AN48" i="6"/>
  <c r="AK48" i="6"/>
  <c r="AO48" i="6"/>
  <c r="AZ48" i="6"/>
  <c r="BA48" i="6"/>
  <c r="AY48" i="6"/>
  <c r="AZ47" i="6"/>
  <c r="AY47" i="6"/>
  <c r="BA47" i="6"/>
  <c r="AL47" i="6"/>
  <c r="AI47" i="6"/>
  <c r="AM47" i="6"/>
  <c r="AX47" i="6" s="1"/>
  <c r="AJ47" i="6"/>
  <c r="AN47" i="6"/>
  <c r="AK47" i="6"/>
  <c r="AO47" i="6"/>
  <c r="AL46" i="6"/>
  <c r="AI46" i="6"/>
  <c r="AM46" i="6"/>
  <c r="AX46" i="6" s="1"/>
  <c r="AJ46" i="6"/>
  <c r="AN46" i="6"/>
  <c r="AK46" i="6"/>
  <c r="AO46" i="6"/>
  <c r="AZ46" i="6"/>
  <c r="AY46" i="6"/>
  <c r="BA46" i="6"/>
  <c r="AZ45" i="6"/>
  <c r="AY45" i="6"/>
  <c r="BA45" i="6"/>
  <c r="AL45" i="6"/>
  <c r="AI45" i="6"/>
  <c r="AM45" i="6"/>
  <c r="AX45" i="6" s="1"/>
  <c r="AJ45" i="6"/>
  <c r="AN45" i="6"/>
  <c r="AK45" i="6"/>
  <c r="AO45" i="6"/>
  <c r="AL44" i="6"/>
  <c r="AI44" i="6"/>
  <c r="AM44" i="6"/>
  <c r="AX44" i="6" s="1"/>
  <c r="AJ44" i="6"/>
  <c r="AN44" i="6"/>
  <c r="AK44" i="6"/>
  <c r="AO44" i="6"/>
  <c r="AZ44" i="6"/>
  <c r="BA44" i="6"/>
  <c r="AY44" i="6"/>
  <c r="AL43" i="6"/>
  <c r="AI43" i="6"/>
  <c r="AM43" i="6"/>
  <c r="AX43" i="6" s="1"/>
  <c r="AJ43" i="6"/>
  <c r="AN43" i="6"/>
  <c r="AK43" i="6"/>
  <c r="AO43" i="6"/>
  <c r="AZ43" i="6"/>
  <c r="AY43" i="6"/>
  <c r="BA43" i="6"/>
  <c r="D22" i="20"/>
  <c r="AL42" i="6"/>
  <c r="AI42" i="6"/>
  <c r="AJ42" i="6"/>
  <c r="AN42" i="6" s="1"/>
  <c r="AK42" i="6"/>
  <c r="AZ42" i="6"/>
  <c r="AY42" i="6"/>
  <c r="AZ41" i="6"/>
  <c r="AY41" i="6"/>
  <c r="D21" i="20"/>
  <c r="AL41" i="6"/>
  <c r="AI41" i="6"/>
  <c r="AJ41" i="6"/>
  <c r="AM41" i="6" s="1"/>
  <c r="AK41" i="6"/>
  <c r="AY40" i="6"/>
  <c r="AZ40" i="6"/>
  <c r="AI41" i="20"/>
  <c r="AK41" i="20" s="1"/>
  <c r="AL41" i="20" s="1"/>
  <c r="AI32" i="20"/>
  <c r="AK32" i="20" s="1"/>
  <c r="AL32" i="20" s="1"/>
  <c r="AI40" i="20"/>
  <c r="AK40" i="20" s="1"/>
  <c r="AL40" i="20" s="1"/>
  <c r="AI34" i="20"/>
  <c r="AK34" i="20" s="1"/>
  <c r="AL34" i="20" s="1"/>
  <c r="AI33" i="20"/>
  <c r="AK33" i="20" s="1"/>
  <c r="AL33" i="20" s="1"/>
  <c r="AI35" i="20"/>
  <c r="AK35" i="20" s="1"/>
  <c r="AL35" i="20" s="1"/>
  <c r="BX55" i="6"/>
  <c r="BX57" i="6"/>
  <c r="BX45" i="6"/>
  <c r="BX49" i="6"/>
  <c r="BX60" i="6"/>
  <c r="BX59" i="6"/>
  <c r="BX58" i="6"/>
  <c r="BX41" i="6"/>
  <c r="BX44" i="6"/>
  <c r="BX48" i="6"/>
  <c r="BX42" i="6"/>
  <c r="BX64" i="6"/>
  <c r="BX46" i="6"/>
  <c r="BX56" i="6"/>
  <c r="BX47" i="6"/>
  <c r="BX63" i="6"/>
  <c r="BX50" i="6"/>
  <c r="BX61" i="6"/>
  <c r="BX51" i="6"/>
  <c r="BX53" i="6"/>
  <c r="BX54" i="6"/>
  <c r="BX52" i="6"/>
  <c r="BX43" i="6"/>
  <c r="BX62" i="6"/>
  <c r="P61" i="6"/>
  <c r="T61" i="6" s="1"/>
  <c r="S62" i="6"/>
  <c r="W62" i="6" s="1"/>
  <c r="P42" i="6"/>
  <c r="T42" i="6" s="1"/>
  <c r="R56" i="6"/>
  <c r="V56" i="6" s="1"/>
  <c r="P57" i="6"/>
  <c r="T57" i="6" s="1"/>
  <c r="S47" i="6"/>
  <c r="W47" i="6" s="1"/>
  <c r="Q45" i="6"/>
  <c r="U45" i="6" s="1"/>
  <c r="S53" i="6"/>
  <c r="W53" i="6" s="1"/>
  <c r="R51" i="6"/>
  <c r="V51" i="6" s="1"/>
  <c r="V25" i="20"/>
  <c r="AJ25" i="20" s="1"/>
  <c r="AK25" i="20"/>
  <c r="AL25" i="20" s="1"/>
  <c r="V29" i="20"/>
  <c r="AJ29" i="20" s="1"/>
  <c r="V31" i="20"/>
  <c r="AJ31" i="20" s="1"/>
  <c r="V33" i="20"/>
  <c r="AJ33" i="20" s="1"/>
  <c r="V35" i="20"/>
  <c r="AJ35" i="20" s="1"/>
  <c r="V37" i="20"/>
  <c r="AJ37" i="20" s="1"/>
  <c r="V39" i="20"/>
  <c r="AJ39" i="20" s="1"/>
  <c r="V41" i="20"/>
  <c r="AJ41" i="20" s="1"/>
  <c r="V43" i="20"/>
  <c r="V28" i="20"/>
  <c r="AJ28" i="20" s="1"/>
  <c r="V24" i="20"/>
  <c r="AJ24" i="20" s="1"/>
  <c r="AK24" i="20"/>
  <c r="AL24" i="20" s="1"/>
  <c r="V26" i="20"/>
  <c r="AJ26" i="20" s="1"/>
  <c r="AK26" i="20"/>
  <c r="AL26" i="20" s="1"/>
  <c r="V27" i="20"/>
  <c r="AJ27" i="20" s="1"/>
  <c r="AK27" i="20"/>
  <c r="AL27" i="20" s="1"/>
  <c r="V30" i="20"/>
  <c r="AJ30" i="20" s="1"/>
  <c r="V32" i="20"/>
  <c r="AJ32" i="20" s="1"/>
  <c r="V34" i="20"/>
  <c r="AJ34" i="20" s="1"/>
  <c r="V36" i="20"/>
  <c r="AJ36" i="20" s="1"/>
  <c r="V38" i="20"/>
  <c r="AJ38" i="20" s="1"/>
  <c r="V40" i="20"/>
  <c r="V42" i="20"/>
  <c r="V44" i="20"/>
  <c r="AJ44" i="20" s="1"/>
  <c r="P53" i="6"/>
  <c r="T53" i="6" s="1"/>
  <c r="Q53" i="6"/>
  <c r="U53" i="6" s="1"/>
  <c r="R53" i="6"/>
  <c r="V53" i="6" s="1"/>
  <c r="P51" i="6"/>
  <c r="T51" i="6" s="1"/>
  <c r="S49" i="6"/>
  <c r="W49" i="6" s="1"/>
  <c r="R49" i="6"/>
  <c r="V49" i="6" s="1"/>
  <c r="P49" i="6"/>
  <c r="T49" i="6" s="1"/>
  <c r="Q49" i="6"/>
  <c r="U49" i="6" s="1"/>
  <c r="S51" i="6"/>
  <c r="W51" i="6" s="1"/>
  <c r="P56" i="6"/>
  <c r="T56" i="6" s="1"/>
  <c r="R47" i="6"/>
  <c r="V47" i="6" s="1"/>
  <c r="Q47" i="6"/>
  <c r="U47" i="6" s="1"/>
  <c r="P45" i="6"/>
  <c r="T45" i="6" s="1"/>
  <c r="Q61" i="6"/>
  <c r="U61" i="6" s="1"/>
  <c r="R61" i="6"/>
  <c r="V61" i="6" s="1"/>
  <c r="R45" i="6"/>
  <c r="V45" i="6" s="1"/>
  <c r="Q62" i="6"/>
  <c r="U62" i="6" s="1"/>
  <c r="S45" i="6"/>
  <c r="W45" i="6" s="1"/>
  <c r="S56" i="6"/>
  <c r="W56" i="6" s="1"/>
  <c r="P47" i="6"/>
  <c r="T47" i="6" s="1"/>
  <c r="Q56" i="6"/>
  <c r="U56" i="6" s="1"/>
  <c r="R43" i="6"/>
  <c r="V43" i="6" s="1"/>
  <c r="R62" i="6"/>
  <c r="V62" i="6" s="1"/>
  <c r="Q42" i="6"/>
  <c r="U42" i="6" s="1"/>
  <c r="S43" i="6"/>
  <c r="W43" i="6" s="1"/>
  <c r="Z22" i="20"/>
  <c r="Q57" i="6"/>
  <c r="U57" i="6" s="1"/>
  <c r="R42" i="6"/>
  <c r="V42" i="6" s="1"/>
  <c r="R57" i="6"/>
  <c r="V57" i="6" s="1"/>
  <c r="S44" i="6"/>
  <c r="W44" i="6" s="1"/>
  <c r="R44" i="6"/>
  <c r="V44" i="6" s="1"/>
  <c r="Z23" i="20"/>
  <c r="S57" i="6"/>
  <c r="W57" i="6" s="1"/>
  <c r="P62" i="6"/>
  <c r="T62" i="6" s="1"/>
  <c r="S42" i="6"/>
  <c r="W42" i="6" s="1"/>
  <c r="Q43" i="6"/>
  <c r="U43" i="6" s="1"/>
  <c r="P43" i="6"/>
  <c r="T43" i="6" s="1"/>
  <c r="S61" i="6"/>
  <c r="W61" i="6" s="1"/>
  <c r="Q51" i="6"/>
  <c r="U51" i="6" s="1"/>
  <c r="R48" i="6"/>
  <c r="V48" i="6" s="1"/>
  <c r="S48" i="6"/>
  <c r="W48" i="6" s="1"/>
  <c r="Q44" i="6"/>
  <c r="U44" i="6" s="1"/>
  <c r="P44" i="6"/>
  <c r="T44" i="6" s="1"/>
  <c r="Q48" i="6"/>
  <c r="U48" i="6" s="1"/>
  <c r="P48" i="6"/>
  <c r="T48" i="6" s="1"/>
  <c r="R52" i="6"/>
  <c r="V52" i="6" s="1"/>
  <c r="P60" i="6"/>
  <c r="T60" i="6" s="1"/>
  <c r="S60" i="6"/>
  <c r="W60" i="6" s="1"/>
  <c r="R60" i="6"/>
  <c r="V60" i="6" s="1"/>
  <c r="Q60" i="6"/>
  <c r="U60" i="6" s="1"/>
  <c r="Z21" i="20"/>
  <c r="S52" i="6"/>
  <c r="W52" i="6" s="1"/>
  <c r="Q52" i="6"/>
  <c r="U52" i="6" s="1"/>
  <c r="P52" i="6"/>
  <c r="T52" i="6" s="1"/>
  <c r="Q59" i="6"/>
  <c r="U59" i="6" s="1"/>
  <c r="S59" i="6"/>
  <c r="W59" i="6" s="1"/>
  <c r="P59" i="6"/>
  <c r="T59" i="6" s="1"/>
  <c r="R59" i="6"/>
  <c r="V59" i="6" s="1"/>
  <c r="Q46" i="6"/>
  <c r="U46" i="6" s="1"/>
  <c r="S46" i="6"/>
  <c r="W46" i="6" s="1"/>
  <c r="R46" i="6"/>
  <c r="V46" i="6" s="1"/>
  <c r="P46" i="6"/>
  <c r="T46" i="6" s="1"/>
  <c r="P55" i="6"/>
  <c r="T55" i="6" s="1"/>
  <c r="R55" i="6"/>
  <c r="V55" i="6" s="1"/>
  <c r="S55" i="6"/>
  <c r="W55" i="6" s="1"/>
  <c r="Q55" i="6"/>
  <c r="U55" i="6" s="1"/>
  <c r="R58" i="6"/>
  <c r="V58" i="6" s="1"/>
  <c r="P58" i="6"/>
  <c r="T58" i="6" s="1"/>
  <c r="S58" i="6"/>
  <c r="W58" i="6" s="1"/>
  <c r="Q58" i="6"/>
  <c r="U58" i="6" s="1"/>
  <c r="Q63" i="6"/>
  <c r="U63" i="6" s="1"/>
  <c r="S63" i="6"/>
  <c r="W63" i="6" s="1"/>
  <c r="P63" i="6"/>
  <c r="T63" i="6" s="1"/>
  <c r="R63" i="6"/>
  <c r="V63" i="6" s="1"/>
  <c r="R41" i="6"/>
  <c r="V41" i="6" s="1"/>
  <c r="Q41" i="6"/>
  <c r="U41" i="6" s="1"/>
  <c r="P41" i="6"/>
  <c r="T41" i="6" s="1"/>
  <c r="S41" i="6"/>
  <c r="W41" i="6" s="1"/>
  <c r="Q54" i="6"/>
  <c r="U54" i="6" s="1"/>
  <c r="R54" i="6"/>
  <c r="V54" i="6" s="1"/>
  <c r="S54" i="6"/>
  <c r="W54" i="6" s="1"/>
  <c r="P54" i="6"/>
  <c r="T54" i="6" s="1"/>
  <c r="Q50" i="6"/>
  <c r="U50" i="6" s="1"/>
  <c r="S50" i="6"/>
  <c r="W50" i="6" s="1"/>
  <c r="R50" i="6"/>
  <c r="V50" i="6" s="1"/>
  <c r="P50" i="6"/>
  <c r="T50" i="6" s="1"/>
  <c r="V21" i="20"/>
  <c r="AJ40" i="20" l="1"/>
  <c r="AN41" i="6"/>
  <c r="AX63" i="6"/>
  <c r="BA63" i="6" s="1"/>
  <c r="AO63" i="6"/>
  <c r="AN63" i="6"/>
  <c r="AN62" i="6"/>
  <c r="AO62" i="6"/>
  <c r="AX62" i="6"/>
  <c r="BA62" i="6" s="1"/>
  <c r="AO42" i="6"/>
  <c r="AM42" i="6"/>
  <c r="AX41" i="6"/>
  <c r="BA41" i="6" s="1"/>
  <c r="AO41" i="6"/>
  <c r="AF51" i="6"/>
  <c r="AF49" i="6"/>
  <c r="AF53" i="6"/>
  <c r="AF58" i="6"/>
  <c r="AF62" i="6"/>
  <c r="AF57" i="6"/>
  <c r="AF42" i="6"/>
  <c r="AF63" i="6"/>
  <c r="AF41" i="6"/>
  <c r="AF43" i="6"/>
  <c r="AF61" i="6"/>
  <c r="AF59" i="6"/>
  <c r="AF60" i="6"/>
  <c r="AF50" i="6"/>
  <c r="AF54" i="6"/>
  <c r="AF55" i="6"/>
  <c r="AF52" i="6"/>
  <c r="AF47" i="6"/>
  <c r="AF46" i="6"/>
  <c r="AF48" i="6"/>
  <c r="AF44" i="6"/>
  <c r="AF45" i="6"/>
  <c r="AF56" i="6"/>
  <c r="Z8" i="6"/>
  <c r="AA8" i="6" s="1"/>
  <c r="Z9" i="6"/>
  <c r="AA9" i="6" s="1"/>
  <c r="Z10" i="6"/>
  <c r="AA10" i="6" s="1"/>
  <c r="Z11" i="6"/>
  <c r="AB11" i="6" s="1"/>
  <c r="Z12" i="6"/>
  <c r="AA12" i="6" s="1"/>
  <c r="Z13" i="6"/>
  <c r="AA13" i="6" s="1"/>
  <c r="Z14" i="6"/>
  <c r="AB14" i="6" s="1"/>
  <c r="Z15" i="6"/>
  <c r="AB15" i="6" s="1"/>
  <c r="Z16" i="6"/>
  <c r="AA16" i="6" s="1"/>
  <c r="Z17" i="6"/>
  <c r="AA17" i="6" s="1"/>
  <c r="Z18" i="6"/>
  <c r="AA18" i="6" s="1"/>
  <c r="Z19" i="6"/>
  <c r="AB19" i="6" s="1"/>
  <c r="Z20" i="6"/>
  <c r="AA20" i="6" s="1"/>
  <c r="Z21" i="6"/>
  <c r="AA21" i="6" s="1"/>
  <c r="Z22" i="6"/>
  <c r="AB22" i="6" s="1"/>
  <c r="Z23" i="6"/>
  <c r="AB23" i="6" s="1"/>
  <c r="Z24" i="6"/>
  <c r="AA24" i="6" s="1"/>
  <c r="Z25" i="6"/>
  <c r="AA25" i="6" s="1"/>
  <c r="Z26" i="6"/>
  <c r="AA26" i="6" s="1"/>
  <c r="Z27" i="6"/>
  <c r="AB27" i="6" s="1"/>
  <c r="Z28" i="6"/>
  <c r="AA28" i="6" s="1"/>
  <c r="Z29" i="6"/>
  <c r="AA29" i="6" s="1"/>
  <c r="Z30" i="6"/>
  <c r="AB30" i="6" s="1"/>
  <c r="Z31" i="6"/>
  <c r="AB31" i="6" s="1"/>
  <c r="Z7" i="6"/>
  <c r="AA7" i="6" s="1"/>
  <c r="AX42" i="6" l="1"/>
  <c r="BA42" i="6" s="1"/>
  <c r="BG42" i="6" s="1"/>
  <c r="CA48" i="6"/>
  <c r="BB48" i="6"/>
  <c r="BF48" i="6"/>
  <c r="BJ48" i="6"/>
  <c r="BP48" i="6" s="1"/>
  <c r="BQ48" i="6"/>
  <c r="BC48" i="6"/>
  <c r="BG48" i="6"/>
  <c r="BK48" i="6"/>
  <c r="BR48" i="6"/>
  <c r="BD48" i="6"/>
  <c r="BH48" i="6"/>
  <c r="BS48" i="6"/>
  <c r="BT48" i="6" s="1"/>
  <c r="BI48" i="6"/>
  <c r="CA55" i="6"/>
  <c r="BC55" i="6"/>
  <c r="BG55" i="6"/>
  <c r="BK55" i="6"/>
  <c r="BR55" i="6"/>
  <c r="BD55" i="6"/>
  <c r="BH55" i="6"/>
  <c r="BS55" i="6"/>
  <c r="BT55" i="6" s="1"/>
  <c r="BF55" i="6"/>
  <c r="BQ55" i="6"/>
  <c r="BI55" i="6"/>
  <c r="BB55" i="6"/>
  <c r="BJ55" i="6"/>
  <c r="BP55" i="6" s="1"/>
  <c r="CA59" i="6"/>
  <c r="BC59" i="6"/>
  <c r="BG59" i="6"/>
  <c r="BK59" i="6"/>
  <c r="BR59" i="6"/>
  <c r="BD59" i="6"/>
  <c r="BI59" i="6"/>
  <c r="BQ59" i="6"/>
  <c r="BJ59" i="6"/>
  <c r="BP59" i="6" s="1"/>
  <c r="BS59" i="6"/>
  <c r="BT59" i="6" s="1"/>
  <c r="BF59" i="6"/>
  <c r="BB59" i="6"/>
  <c r="BH59" i="6"/>
  <c r="BB63" i="6"/>
  <c r="BF63" i="6"/>
  <c r="BC63" i="6"/>
  <c r="BG63" i="6"/>
  <c r="BS63" i="6"/>
  <c r="BT63" i="6" s="1"/>
  <c r="AI43" i="20" s="1"/>
  <c r="BD63" i="6"/>
  <c r="BH63" i="6"/>
  <c r="CA58" i="6"/>
  <c r="BB58" i="6"/>
  <c r="BF58" i="6"/>
  <c r="BJ58" i="6"/>
  <c r="BP58" i="6" s="1"/>
  <c r="BQ58" i="6"/>
  <c r="BC58" i="6"/>
  <c r="BH58" i="6"/>
  <c r="BD58" i="6"/>
  <c r="BI58" i="6"/>
  <c r="BR58" i="6"/>
  <c r="BK58" i="6"/>
  <c r="BS58" i="6"/>
  <c r="BT58" i="6" s="1"/>
  <c r="BG58" i="6"/>
  <c r="CA56" i="6"/>
  <c r="BD56" i="6"/>
  <c r="BH56" i="6"/>
  <c r="BS56" i="6"/>
  <c r="BT56" i="6" s="1"/>
  <c r="BF56" i="6"/>
  <c r="BK56" i="6"/>
  <c r="BB56" i="6"/>
  <c r="BG56" i="6"/>
  <c r="BC56" i="6"/>
  <c r="BI56" i="6"/>
  <c r="BQ56" i="6"/>
  <c r="BJ56" i="6"/>
  <c r="BP56" i="6" s="1"/>
  <c r="BR56" i="6"/>
  <c r="CA46" i="6"/>
  <c r="BC46" i="6"/>
  <c r="BG46" i="6"/>
  <c r="BK46" i="6"/>
  <c r="BR46" i="6"/>
  <c r="BD46" i="6"/>
  <c r="BH46" i="6"/>
  <c r="BS46" i="6"/>
  <c r="BT46" i="6" s="1"/>
  <c r="BI46" i="6"/>
  <c r="BF46" i="6"/>
  <c r="BJ46" i="6"/>
  <c r="BP46" i="6" s="1"/>
  <c r="BQ46" i="6"/>
  <c r="BB46" i="6"/>
  <c r="CA54" i="6"/>
  <c r="BB54" i="6"/>
  <c r="BF54" i="6"/>
  <c r="BJ54" i="6"/>
  <c r="BP54" i="6" s="1"/>
  <c r="BQ54" i="6"/>
  <c r="BC54" i="6"/>
  <c r="BG54" i="6"/>
  <c r="BK54" i="6"/>
  <c r="BR54" i="6"/>
  <c r="BH54" i="6"/>
  <c r="BS54" i="6"/>
  <c r="BT54" i="6" s="1"/>
  <c r="BI54" i="6"/>
  <c r="BD54" i="6"/>
  <c r="CA61" i="6"/>
  <c r="BC61" i="6"/>
  <c r="BG61" i="6"/>
  <c r="BK61" i="6"/>
  <c r="BR61" i="6"/>
  <c r="BD61" i="6"/>
  <c r="BH61" i="6"/>
  <c r="BS61" i="6"/>
  <c r="BT61" i="6" s="1"/>
  <c r="BI61" i="6"/>
  <c r="BJ61" i="6"/>
  <c r="BP61" i="6" s="1"/>
  <c r="BQ61" i="6"/>
  <c r="BB61" i="6"/>
  <c r="BF61" i="6"/>
  <c r="BC42" i="6"/>
  <c r="BD42" i="6"/>
  <c r="BH42" i="6"/>
  <c r="BS42" i="6"/>
  <c r="BT42" i="6" s="1"/>
  <c r="BF42" i="6"/>
  <c r="BB42" i="6"/>
  <c r="CA53" i="6"/>
  <c r="BD53" i="6"/>
  <c r="BH53" i="6"/>
  <c r="BS53" i="6"/>
  <c r="BT53" i="6" s="1"/>
  <c r="BI53" i="6"/>
  <c r="BB53" i="6"/>
  <c r="BF53" i="6"/>
  <c r="BJ53" i="6"/>
  <c r="BP53" i="6" s="1"/>
  <c r="BQ53" i="6"/>
  <c r="BG53" i="6"/>
  <c r="BK53" i="6"/>
  <c r="BR53" i="6"/>
  <c r="BC53" i="6"/>
  <c r="CA45" i="6"/>
  <c r="BB45" i="6"/>
  <c r="BF45" i="6"/>
  <c r="BJ45" i="6"/>
  <c r="BP45" i="6" s="1"/>
  <c r="BQ45" i="6"/>
  <c r="BC45" i="6"/>
  <c r="BG45" i="6"/>
  <c r="BK45" i="6"/>
  <c r="BR45" i="6"/>
  <c r="BD45" i="6"/>
  <c r="BH45" i="6"/>
  <c r="BS45" i="6"/>
  <c r="BT45" i="6" s="1"/>
  <c r="BI45" i="6"/>
  <c r="CA47" i="6"/>
  <c r="BB47" i="6"/>
  <c r="BF47" i="6"/>
  <c r="BJ47" i="6"/>
  <c r="BP47" i="6" s="1"/>
  <c r="BQ47" i="6"/>
  <c r="BC47" i="6"/>
  <c r="BG47" i="6"/>
  <c r="BK47" i="6"/>
  <c r="BR47" i="6"/>
  <c r="BD47" i="6"/>
  <c r="BH47" i="6"/>
  <c r="BS47" i="6"/>
  <c r="BT47" i="6" s="1"/>
  <c r="BI47" i="6"/>
  <c r="CA50" i="6"/>
  <c r="BB50" i="6"/>
  <c r="BF50" i="6"/>
  <c r="BJ50" i="6"/>
  <c r="BP50" i="6" s="1"/>
  <c r="BQ50" i="6"/>
  <c r="BC50" i="6"/>
  <c r="BG50" i="6"/>
  <c r="BK50" i="6"/>
  <c r="BR50" i="6"/>
  <c r="BD50" i="6"/>
  <c r="BH50" i="6"/>
  <c r="BS50" i="6"/>
  <c r="BT50" i="6" s="1"/>
  <c r="BI50" i="6"/>
  <c r="CA43" i="6"/>
  <c r="BD43" i="6"/>
  <c r="BH43" i="6"/>
  <c r="BS43" i="6"/>
  <c r="BT43" i="6" s="1"/>
  <c r="BI43" i="6"/>
  <c r="BB43" i="6"/>
  <c r="BF43" i="6"/>
  <c r="BJ43" i="6"/>
  <c r="BP43" i="6" s="1"/>
  <c r="BQ43" i="6"/>
  <c r="BR43" i="6"/>
  <c r="BC43" i="6"/>
  <c r="BG43" i="6"/>
  <c r="BK43" i="6"/>
  <c r="CA57" i="6"/>
  <c r="BI57" i="6"/>
  <c r="BB57" i="6"/>
  <c r="BG57" i="6"/>
  <c r="BC57" i="6"/>
  <c r="BH57" i="6"/>
  <c r="BQ57" i="6"/>
  <c r="BD57" i="6"/>
  <c r="BJ57" i="6"/>
  <c r="BP57" i="6" s="1"/>
  <c r="BR57" i="6"/>
  <c r="BF57" i="6"/>
  <c r="BK57" i="6"/>
  <c r="BS57" i="6"/>
  <c r="BT57" i="6" s="1"/>
  <c r="CA49" i="6"/>
  <c r="BB49" i="6"/>
  <c r="BF49" i="6"/>
  <c r="BJ49" i="6"/>
  <c r="BP49" i="6" s="1"/>
  <c r="BQ49" i="6"/>
  <c r="BC49" i="6"/>
  <c r="BG49" i="6"/>
  <c r="BK49" i="6"/>
  <c r="BR49" i="6"/>
  <c r="BD49" i="6"/>
  <c r="BH49" i="6"/>
  <c r="BS49" i="6"/>
  <c r="BT49" i="6" s="1"/>
  <c r="BI49" i="6"/>
  <c r="CA44" i="6"/>
  <c r="BI44" i="6"/>
  <c r="BB44" i="6"/>
  <c r="BF44" i="6"/>
  <c r="BJ44" i="6"/>
  <c r="BP44" i="6" s="1"/>
  <c r="BQ44" i="6"/>
  <c r="BC44" i="6"/>
  <c r="BG44" i="6"/>
  <c r="BK44" i="6"/>
  <c r="BR44" i="6"/>
  <c r="BS44" i="6"/>
  <c r="BT44" i="6" s="1"/>
  <c r="BD44" i="6"/>
  <c r="BH44" i="6"/>
  <c r="CA52" i="6"/>
  <c r="BC52" i="6"/>
  <c r="BG52" i="6"/>
  <c r="BK52" i="6"/>
  <c r="BR52" i="6"/>
  <c r="BD52" i="6"/>
  <c r="BH52" i="6"/>
  <c r="BS52" i="6"/>
  <c r="BT52" i="6" s="1"/>
  <c r="BI52" i="6"/>
  <c r="BF52" i="6"/>
  <c r="BJ52" i="6"/>
  <c r="BP52" i="6" s="1"/>
  <c r="BQ52" i="6"/>
  <c r="BB52" i="6"/>
  <c r="CA60" i="6"/>
  <c r="BD60" i="6"/>
  <c r="BH60" i="6"/>
  <c r="BJ60" i="6"/>
  <c r="BP60" i="6" s="1"/>
  <c r="BQ60" i="6"/>
  <c r="BF60" i="6"/>
  <c r="BK60" i="6"/>
  <c r="BR60" i="6"/>
  <c r="BB60" i="6"/>
  <c r="BG60" i="6"/>
  <c r="BS60" i="6"/>
  <c r="BT60" i="6" s="1"/>
  <c r="BI60" i="6"/>
  <c r="BC60" i="6"/>
  <c r="BB41" i="6"/>
  <c r="BF41" i="6"/>
  <c r="BC41" i="6"/>
  <c r="BG41" i="6"/>
  <c r="BD41" i="6"/>
  <c r="BH41" i="6"/>
  <c r="BS41" i="6"/>
  <c r="BT41" i="6" s="1"/>
  <c r="AI21" i="20" s="1"/>
  <c r="BD62" i="6"/>
  <c r="BH62" i="6"/>
  <c r="BS62" i="6"/>
  <c r="BT62" i="6" s="1"/>
  <c r="AI42" i="20" s="1"/>
  <c r="BB62" i="6"/>
  <c r="BF62" i="6"/>
  <c r="BC62" i="6"/>
  <c r="BG62" i="6"/>
  <c r="CA51" i="6"/>
  <c r="BB51" i="6"/>
  <c r="BF51" i="6"/>
  <c r="BJ51" i="6"/>
  <c r="BP51" i="6" s="1"/>
  <c r="BQ51" i="6"/>
  <c r="BC51" i="6"/>
  <c r="BG51" i="6"/>
  <c r="BK51" i="6"/>
  <c r="BR51" i="6"/>
  <c r="BD51" i="6"/>
  <c r="BH51" i="6"/>
  <c r="BS51" i="6"/>
  <c r="BT51" i="6" s="1"/>
  <c r="BI51" i="6"/>
  <c r="BZ59" i="6"/>
  <c r="BZ46" i="6"/>
  <c r="BZ54" i="6"/>
  <c r="BZ61" i="6"/>
  <c r="BZ53" i="6"/>
  <c r="BZ48" i="6"/>
  <c r="BZ58" i="6"/>
  <c r="BZ45" i="6"/>
  <c r="BZ47" i="6"/>
  <c r="BZ50" i="6"/>
  <c r="BZ43" i="6"/>
  <c r="BZ57" i="6"/>
  <c r="BZ49" i="6"/>
  <c r="BZ55" i="6"/>
  <c r="BZ56" i="6"/>
  <c r="BZ44" i="6"/>
  <c r="BZ52" i="6"/>
  <c r="BZ60" i="6"/>
  <c r="BZ51" i="6"/>
  <c r="BY45" i="6"/>
  <c r="CB45" i="6" s="1"/>
  <c r="BY47" i="6"/>
  <c r="CB47" i="6" s="1"/>
  <c r="BY50" i="6"/>
  <c r="CB50" i="6" s="1"/>
  <c r="BY43" i="6"/>
  <c r="CB43" i="6" s="1"/>
  <c r="AI23" i="20"/>
  <c r="BY41" i="6"/>
  <c r="BY51" i="6"/>
  <c r="CB51" i="6" s="1"/>
  <c r="BY48" i="6"/>
  <c r="CB48" i="6" s="1"/>
  <c r="BY56" i="6"/>
  <c r="CB56" i="6" s="1"/>
  <c r="BY46" i="6"/>
  <c r="CB46" i="6" s="1"/>
  <c r="BY54" i="6"/>
  <c r="CB54" i="6" s="1"/>
  <c r="BY44" i="6"/>
  <c r="CB44" i="6" s="1"/>
  <c r="BY57" i="6"/>
  <c r="CB57" i="6" s="1"/>
  <c r="BY53" i="6"/>
  <c r="CB53" i="6" s="1"/>
  <c r="AH22" i="20"/>
  <c r="AM22" i="20" s="1"/>
  <c r="BY42" i="6"/>
  <c r="CB42" i="6" s="1"/>
  <c r="BY52" i="6"/>
  <c r="CB52" i="6" s="1"/>
  <c r="BY60" i="6"/>
  <c r="CB60" i="6" s="1"/>
  <c r="BY62" i="6"/>
  <c r="AH29" i="20"/>
  <c r="AM29" i="20" s="1"/>
  <c r="BY49" i="6"/>
  <c r="CB49" i="6" s="1"/>
  <c r="BY61" i="6"/>
  <c r="CB61" i="6" s="1"/>
  <c r="BY58" i="6"/>
  <c r="CB58" i="6" s="1"/>
  <c r="BY55" i="6"/>
  <c r="CB55" i="6" s="1"/>
  <c r="BY59" i="6"/>
  <c r="CB59" i="6" s="1"/>
  <c r="BY63" i="6"/>
  <c r="CB63" i="6" s="1"/>
  <c r="BY64" i="6"/>
  <c r="CB64" i="6" s="1"/>
  <c r="AH23" i="20"/>
  <c r="AM23" i="20" s="1"/>
  <c r="AH33" i="20"/>
  <c r="AM33" i="20" s="1"/>
  <c r="AH27" i="20"/>
  <c r="AM27" i="20" s="1"/>
  <c r="AH21" i="20"/>
  <c r="AM21" i="20" s="1"/>
  <c r="AH31" i="20"/>
  <c r="AM31" i="20" s="1"/>
  <c r="AH25" i="20"/>
  <c r="AM25" i="20" s="1"/>
  <c r="AH36" i="20"/>
  <c r="AM36" i="20" s="1"/>
  <c r="AH41" i="20"/>
  <c r="AM41" i="20" s="1"/>
  <c r="AH42" i="20"/>
  <c r="AM42" i="20" s="1"/>
  <c r="AH37" i="20"/>
  <c r="AM37" i="20" s="1"/>
  <c r="AH24" i="20"/>
  <c r="AM24" i="20" s="1"/>
  <c r="AH40" i="20"/>
  <c r="AM40" i="20" s="1"/>
  <c r="AH28" i="20"/>
  <c r="AM28" i="20" s="1"/>
  <c r="AH34" i="20"/>
  <c r="AM34" i="20" s="1"/>
  <c r="AH38" i="20"/>
  <c r="AM38" i="20" s="1"/>
  <c r="AH39" i="20"/>
  <c r="AM39" i="20" s="1"/>
  <c r="AH43" i="20"/>
  <c r="AM43" i="20" s="1"/>
  <c r="AH44" i="20"/>
  <c r="AM44" i="20" s="1"/>
  <c r="AH35" i="20"/>
  <c r="AM35" i="20" s="1"/>
  <c r="AH32" i="20"/>
  <c r="AM32" i="20" s="1"/>
  <c r="AH30" i="20"/>
  <c r="AM30" i="20" s="1"/>
  <c r="AH26" i="20"/>
  <c r="AM26" i="20" s="1"/>
  <c r="AA30" i="6"/>
  <c r="AA22" i="6"/>
  <c r="AB18" i="6"/>
  <c r="AA14" i="6"/>
  <c r="AA27" i="6"/>
  <c r="AA19" i="6"/>
  <c r="AA11" i="6"/>
  <c r="AB26" i="6"/>
  <c r="AB10" i="6"/>
  <c r="AA31" i="6"/>
  <c r="AA23" i="6"/>
  <c r="AA15" i="6"/>
  <c r="AB29" i="6"/>
  <c r="AB25" i="6"/>
  <c r="AB21" i="6"/>
  <c r="AB17" i="6"/>
  <c r="AB13" i="6"/>
  <c r="AB9" i="6"/>
  <c r="AB7" i="6"/>
  <c r="AB28" i="6"/>
  <c r="AB24" i="6"/>
  <c r="AB20" i="6"/>
  <c r="AB16" i="6"/>
  <c r="AB12" i="6"/>
  <c r="AB8" i="6"/>
  <c r="BU59" i="6" l="1"/>
  <c r="CB62" i="6"/>
  <c r="BI62" i="6"/>
  <c r="BJ62" i="6" s="1"/>
  <c r="BP62" i="6" s="1"/>
  <c r="CB41" i="6"/>
  <c r="BI63" i="6"/>
  <c r="BJ63" i="6" s="1"/>
  <c r="BP63" i="6" s="1"/>
  <c r="BK63" i="6"/>
  <c r="BR63" i="6"/>
  <c r="BR62" i="6"/>
  <c r="BK62" i="6"/>
  <c r="BK42" i="6"/>
  <c r="BI42" i="6"/>
  <c r="BJ42" i="6" s="1"/>
  <c r="BP42" i="6" s="1"/>
  <c r="BR42" i="6"/>
  <c r="BI41" i="6"/>
  <c r="BJ41" i="6" s="1"/>
  <c r="BP41" i="6" s="1"/>
  <c r="BK41" i="6"/>
  <c r="BR41" i="6"/>
  <c r="BU53" i="6"/>
  <c r="BU41" i="6"/>
  <c r="BU51" i="6"/>
  <c r="BU62" i="6"/>
  <c r="AJ42" i="20" s="1"/>
  <c r="BU52" i="6"/>
  <c r="BU47" i="6"/>
  <c r="BU43" i="6"/>
  <c r="BU55" i="6"/>
  <c r="BU60" i="6"/>
  <c r="BU49" i="6"/>
  <c r="BU63" i="6"/>
  <c r="AJ43" i="20" s="1"/>
  <c r="BU57" i="6"/>
  <c r="BM54" i="6"/>
  <c r="BU56" i="6"/>
  <c r="BM60" i="6"/>
  <c r="BM63" i="6"/>
  <c r="CA63" i="6" s="1"/>
  <c r="BM62" i="6"/>
  <c r="CA62" i="6" s="1"/>
  <c r="BM43" i="6"/>
  <c r="BM58" i="6"/>
  <c r="BM41" i="6"/>
  <c r="CA41" i="6" s="1"/>
  <c r="BM53" i="6"/>
  <c r="BM57" i="6"/>
  <c r="BL52" i="6"/>
  <c r="BE52" i="6"/>
  <c r="BO52" i="6" s="1"/>
  <c r="BL51" i="6"/>
  <c r="BE51" i="6"/>
  <c r="BO51" i="6" s="1"/>
  <c r="BL41" i="6"/>
  <c r="BE41" i="6"/>
  <c r="BO41" i="6" s="1"/>
  <c r="BU44" i="6"/>
  <c r="BM50" i="6"/>
  <c r="BM45" i="6"/>
  <c r="BM42" i="6"/>
  <c r="CA42" i="6" s="1"/>
  <c r="BU54" i="6"/>
  <c r="BL56" i="6"/>
  <c r="BE56" i="6"/>
  <c r="BO56" i="6" s="1"/>
  <c r="BE58" i="6"/>
  <c r="BO58" i="6" s="1"/>
  <c r="BL58" i="6"/>
  <c r="BL55" i="6"/>
  <c r="BE55" i="6"/>
  <c r="BO55" i="6" s="1"/>
  <c r="BU50" i="6"/>
  <c r="BL50" i="6"/>
  <c r="BE50" i="6"/>
  <c r="BO50" i="6" s="1"/>
  <c r="BU45" i="6"/>
  <c r="BL45" i="6"/>
  <c r="BE45" i="6"/>
  <c r="BO45" i="6" s="1"/>
  <c r="BU42" i="6"/>
  <c r="BL42" i="6"/>
  <c r="BE42" i="6"/>
  <c r="BO42" i="6" s="1"/>
  <c r="BM61" i="6"/>
  <c r="BE54" i="6"/>
  <c r="BO54" i="6" s="1"/>
  <c r="BL54" i="6"/>
  <c r="BM46" i="6"/>
  <c r="BE63" i="6"/>
  <c r="BO63" i="6" s="1"/>
  <c r="BL63" i="6"/>
  <c r="BM59" i="6"/>
  <c r="BM48" i="6"/>
  <c r="BE60" i="6"/>
  <c r="BO60" i="6" s="1"/>
  <c r="BL60" i="6"/>
  <c r="BL62" i="6"/>
  <c r="BE62" i="6"/>
  <c r="BO62" i="6" s="1"/>
  <c r="BM52" i="6"/>
  <c r="BE44" i="6"/>
  <c r="BO44" i="6" s="1"/>
  <c r="BL44" i="6"/>
  <c r="BM44" i="6"/>
  <c r="BM49" i="6"/>
  <c r="BM47" i="6"/>
  <c r="BU61" i="6"/>
  <c r="BL61" i="6"/>
  <c r="BE61" i="6"/>
  <c r="BO61" i="6" s="1"/>
  <c r="BU46" i="6"/>
  <c r="BL46" i="6"/>
  <c r="BE46" i="6"/>
  <c r="BO46" i="6" s="1"/>
  <c r="BM56" i="6"/>
  <c r="BU58" i="6"/>
  <c r="BE59" i="6"/>
  <c r="BO59" i="6" s="1"/>
  <c r="BL59" i="6"/>
  <c r="BU48" i="6"/>
  <c r="BL48" i="6"/>
  <c r="BE48" i="6"/>
  <c r="BO48" i="6" s="1"/>
  <c r="BM51" i="6"/>
  <c r="BL49" i="6"/>
  <c r="BE49" i="6"/>
  <c r="BO49" i="6" s="1"/>
  <c r="BE57" i="6"/>
  <c r="BO57" i="6" s="1"/>
  <c r="BL57" i="6"/>
  <c r="BL43" i="6"/>
  <c r="BE43" i="6"/>
  <c r="BO43" i="6" s="1"/>
  <c r="BL47" i="6"/>
  <c r="BE47" i="6"/>
  <c r="BO47" i="6" s="1"/>
  <c r="BL53" i="6"/>
  <c r="BE53" i="6"/>
  <c r="BO53" i="6" s="1"/>
  <c r="BM55" i="6"/>
  <c r="AI22" i="20"/>
  <c r="AP8" i="6"/>
  <c r="AP9" i="6"/>
  <c r="AP10" i="6"/>
  <c r="AP11" i="6"/>
  <c r="AP12" i="6"/>
  <c r="AP13" i="6"/>
  <c r="AP14" i="6"/>
  <c r="AP15" i="6"/>
  <c r="AP16" i="6"/>
  <c r="AP17" i="6"/>
  <c r="AP18" i="6"/>
  <c r="AP19" i="6"/>
  <c r="AP20" i="6"/>
  <c r="AP21" i="6"/>
  <c r="AP22" i="6"/>
  <c r="AP23" i="6"/>
  <c r="AP24" i="6"/>
  <c r="AP25" i="6"/>
  <c r="AP26" i="6"/>
  <c r="AP27" i="6"/>
  <c r="AP28" i="6"/>
  <c r="AP29" i="6"/>
  <c r="AP30" i="6"/>
  <c r="AP31" i="6"/>
  <c r="AP7" i="6"/>
  <c r="BQ62" i="6" l="1"/>
  <c r="BQ41" i="6"/>
  <c r="BQ63" i="6"/>
  <c r="BQ42" i="6"/>
  <c r="BZ62" i="6"/>
  <c r="BZ63" i="6"/>
  <c r="BN53" i="6"/>
  <c r="BN58" i="6"/>
  <c r="BN62" i="6"/>
  <c r="BN54" i="6"/>
  <c r="BN51" i="6"/>
  <c r="BN60" i="6"/>
  <c r="BN63" i="6"/>
  <c r="BN43" i="6"/>
  <c r="BN56" i="6"/>
  <c r="BN55" i="6"/>
  <c r="BN57" i="6"/>
  <c r="BN41" i="6"/>
  <c r="BN44" i="6"/>
  <c r="BN49" i="6"/>
  <c r="BN52" i="6"/>
  <c r="BN47" i="6"/>
  <c r="BN59" i="6"/>
  <c r="BN46" i="6"/>
  <c r="BN42" i="6"/>
  <c r="BN45" i="6"/>
  <c r="BN50" i="6"/>
  <c r="BN48" i="6"/>
  <c r="BN61" i="6"/>
  <c r="BZ42" i="6"/>
  <c r="BZ41" i="6"/>
  <c r="AJ21" i="20"/>
  <c r="AJ22" i="20" l="1"/>
  <c r="F8" i="6"/>
  <c r="F9" i="6"/>
  <c r="F10" i="6"/>
  <c r="F11" i="6"/>
  <c r="F12" i="6"/>
  <c r="F13" i="6"/>
  <c r="F14" i="6"/>
  <c r="F15" i="6"/>
  <c r="F16" i="6"/>
  <c r="F17" i="6"/>
  <c r="F18" i="6"/>
  <c r="F19" i="6"/>
  <c r="F20" i="6"/>
  <c r="F21" i="6"/>
  <c r="F22" i="6"/>
  <c r="F23" i="6"/>
  <c r="F24" i="6"/>
  <c r="F25" i="6"/>
  <c r="F26" i="6"/>
  <c r="F27" i="6"/>
  <c r="F28" i="6"/>
  <c r="F29" i="6"/>
  <c r="F30" i="6"/>
  <c r="F31" i="6"/>
  <c r="F7" i="6"/>
  <c r="E8" i="6"/>
  <c r="E9" i="6"/>
  <c r="E10" i="6"/>
  <c r="E11" i="6"/>
  <c r="E12" i="6"/>
  <c r="E13" i="6"/>
  <c r="E14" i="6"/>
  <c r="E15" i="6"/>
  <c r="E16" i="6"/>
  <c r="E17" i="6"/>
  <c r="E18" i="6"/>
  <c r="E19" i="6"/>
  <c r="E20" i="6"/>
  <c r="E21" i="6"/>
  <c r="E22" i="6"/>
  <c r="E23" i="6"/>
  <c r="E24" i="6"/>
  <c r="E25" i="6"/>
  <c r="E26" i="6"/>
  <c r="E27" i="6"/>
  <c r="E28" i="6"/>
  <c r="E29" i="6"/>
  <c r="E30" i="6"/>
  <c r="E31" i="6"/>
  <c r="E7" i="6"/>
  <c r="D8" i="6"/>
  <c r="D9" i="6"/>
  <c r="D10" i="6"/>
  <c r="D11" i="6"/>
  <c r="D12" i="6"/>
  <c r="D13" i="6"/>
  <c r="D14" i="6"/>
  <c r="D15" i="6"/>
  <c r="D16" i="6"/>
  <c r="D17" i="6"/>
  <c r="D18" i="6"/>
  <c r="D19" i="6"/>
  <c r="D20" i="6"/>
  <c r="D21" i="6"/>
  <c r="D22" i="6"/>
  <c r="D23" i="6"/>
  <c r="D24" i="6"/>
  <c r="D25" i="6"/>
  <c r="D26" i="6"/>
  <c r="D27" i="6"/>
  <c r="D28" i="6"/>
  <c r="D29" i="6"/>
  <c r="D30" i="6"/>
  <c r="D31" i="6"/>
  <c r="D7" i="6"/>
  <c r="C8" i="6"/>
  <c r="C9" i="6"/>
  <c r="C10" i="6"/>
  <c r="C11" i="6"/>
  <c r="C12" i="6"/>
  <c r="C13" i="6"/>
  <c r="C14" i="6"/>
  <c r="C15" i="6"/>
  <c r="C16" i="6"/>
  <c r="C17" i="6"/>
  <c r="C18" i="6"/>
  <c r="C19" i="6"/>
  <c r="C20" i="6"/>
  <c r="C21" i="6"/>
  <c r="C22" i="6"/>
  <c r="C23" i="6"/>
  <c r="C24" i="6"/>
  <c r="C25" i="6"/>
  <c r="C26" i="6"/>
  <c r="C27" i="6"/>
  <c r="C28" i="6"/>
  <c r="C29" i="6"/>
  <c r="C30" i="6"/>
  <c r="C31" i="6"/>
  <c r="C7" i="6"/>
  <c r="AG27" i="6" l="1"/>
  <c r="AG19" i="6"/>
  <c r="AG11" i="6"/>
  <c r="AG30" i="6"/>
  <c r="AG18" i="6"/>
  <c r="AG10" i="6"/>
  <c r="AG31" i="6"/>
  <c r="AG23" i="6"/>
  <c r="AG15" i="6"/>
  <c r="AG26" i="6"/>
  <c r="AG22" i="6"/>
  <c r="AG14" i="6"/>
  <c r="H7" i="6"/>
  <c r="AG7" i="6"/>
  <c r="H28" i="6"/>
  <c r="AK28" i="6" s="1"/>
  <c r="AG28" i="6"/>
  <c r="H24" i="6"/>
  <c r="AK24" i="6" s="1"/>
  <c r="AG24" i="6"/>
  <c r="H20" i="6"/>
  <c r="AK20" i="6" s="1"/>
  <c r="AG20" i="6"/>
  <c r="H16" i="6"/>
  <c r="AK16" i="6" s="1"/>
  <c r="AG16" i="6"/>
  <c r="H12" i="6"/>
  <c r="AG12" i="6"/>
  <c r="AG8" i="6"/>
  <c r="AG29" i="6"/>
  <c r="AG25" i="6"/>
  <c r="AG21" i="6"/>
  <c r="AG17" i="6"/>
  <c r="AG13" i="6"/>
  <c r="AG9" i="6"/>
  <c r="H8" i="6"/>
  <c r="H29" i="6"/>
  <c r="AK29" i="6" s="1"/>
  <c r="H25" i="6"/>
  <c r="AK25" i="6" s="1"/>
  <c r="H21" i="6"/>
  <c r="AK21" i="6" s="1"/>
  <c r="H17" i="6"/>
  <c r="AK17" i="6" s="1"/>
  <c r="H13" i="6"/>
  <c r="D23" i="2" s="1"/>
  <c r="H9" i="6"/>
  <c r="H31" i="6"/>
  <c r="AK31" i="6" s="1"/>
  <c r="H27" i="6"/>
  <c r="AK27" i="6" s="1"/>
  <c r="H23" i="6"/>
  <c r="AK23" i="6" s="1"/>
  <c r="H19" i="6"/>
  <c r="AK19" i="6" s="1"/>
  <c r="H15" i="6"/>
  <c r="AK15" i="6" s="1"/>
  <c r="H11" i="6"/>
  <c r="H30" i="6"/>
  <c r="AK30" i="6" s="1"/>
  <c r="H26" i="6"/>
  <c r="AK26" i="6" s="1"/>
  <c r="H22" i="6"/>
  <c r="AK22" i="6" s="1"/>
  <c r="H18" i="6"/>
  <c r="AK18" i="6" s="1"/>
  <c r="H14" i="6"/>
  <c r="D24" i="2" s="1"/>
  <c r="H10" i="6"/>
  <c r="D17" i="2" l="1"/>
  <c r="G7" i="6"/>
  <c r="D20" i="2"/>
  <c r="AK10" i="6"/>
  <c r="D21" i="2"/>
  <c r="AK11" i="6"/>
  <c r="D18" i="2"/>
  <c r="AK8" i="6"/>
  <c r="D22" i="2"/>
  <c r="AK12" i="6"/>
  <c r="D19" i="2"/>
  <c r="AK9" i="6"/>
  <c r="AN27" i="6"/>
  <c r="AL27" i="6"/>
  <c r="AM27" i="6"/>
  <c r="AN17" i="6"/>
  <c r="AL17" i="6"/>
  <c r="AM17" i="6"/>
  <c r="AN21" i="6"/>
  <c r="AL21" i="6"/>
  <c r="AM21" i="6"/>
  <c r="AN20" i="6"/>
  <c r="AL20" i="6"/>
  <c r="AM20" i="6"/>
  <c r="AN28" i="6"/>
  <c r="AL28" i="6"/>
  <c r="AM28" i="6"/>
  <c r="AN18" i="6"/>
  <c r="AL18" i="6"/>
  <c r="AM18" i="6"/>
  <c r="AN15" i="6"/>
  <c r="AL15" i="6"/>
  <c r="AM15" i="6"/>
  <c r="AN26" i="6"/>
  <c r="AL26" i="6"/>
  <c r="AM26" i="6"/>
  <c r="AN19" i="6"/>
  <c r="AM19" i="6"/>
  <c r="AL19" i="6"/>
  <c r="AN25" i="6"/>
  <c r="AL25" i="6"/>
  <c r="AM25" i="6"/>
  <c r="AN22" i="6"/>
  <c r="AM22" i="6"/>
  <c r="AL22" i="6"/>
  <c r="AN31" i="6"/>
  <c r="AM31" i="6"/>
  <c r="AL31" i="6"/>
  <c r="G14" i="6"/>
  <c r="AN30" i="6"/>
  <c r="AL30" i="6"/>
  <c r="AM30" i="6"/>
  <c r="AN23" i="6"/>
  <c r="AL23" i="6"/>
  <c r="AM23" i="6"/>
  <c r="G13" i="6"/>
  <c r="AN29" i="6"/>
  <c r="AL29" i="6"/>
  <c r="AM29" i="6"/>
  <c r="AN16" i="6"/>
  <c r="AL16" i="6"/>
  <c r="AM16" i="6"/>
  <c r="AN24" i="6"/>
  <c r="AL24" i="6"/>
  <c r="AM24" i="6"/>
  <c r="AI7" i="6"/>
  <c r="AO7" i="6" s="1"/>
  <c r="G11" i="6"/>
  <c r="G31" i="6"/>
  <c r="D41" i="2"/>
  <c r="BO31" i="6"/>
  <c r="G30" i="6"/>
  <c r="D40" i="2"/>
  <c r="BO30" i="6"/>
  <c r="G29" i="6"/>
  <c r="D39" i="2"/>
  <c r="BO29" i="6"/>
  <c r="G28" i="6"/>
  <c r="D38" i="2"/>
  <c r="BO28" i="6"/>
  <c r="G27" i="6"/>
  <c r="D37" i="2"/>
  <c r="BO27" i="6"/>
  <c r="G26" i="6"/>
  <c r="D36" i="2"/>
  <c r="BO26" i="6"/>
  <c r="G25" i="6"/>
  <c r="D35" i="2"/>
  <c r="BO25" i="6"/>
  <c r="G24" i="6"/>
  <c r="D34" i="2"/>
  <c r="BO24" i="6"/>
  <c r="BO23" i="6"/>
  <c r="G22" i="6"/>
  <c r="D32" i="2"/>
  <c r="BO22" i="6"/>
  <c r="G21" i="6"/>
  <c r="D31" i="2"/>
  <c r="BO21" i="6"/>
  <c r="G20" i="6"/>
  <c r="D30" i="2"/>
  <c r="BO20" i="6"/>
  <c r="BO19" i="6"/>
  <c r="G18" i="6"/>
  <c r="D28" i="2"/>
  <c r="BO18" i="6"/>
  <c r="BO17" i="6"/>
  <c r="BO16" i="6"/>
  <c r="BO15" i="6"/>
  <c r="BO14" i="6"/>
  <c r="BO13" i="6"/>
  <c r="G12" i="6"/>
  <c r="BO12" i="6"/>
  <c r="BO11" i="6"/>
  <c r="G10" i="6"/>
  <c r="BO10" i="6"/>
  <c r="G9" i="6"/>
  <c r="BO9" i="6"/>
  <c r="G8" i="6"/>
  <c r="BO8" i="6"/>
  <c r="G23" i="6"/>
  <c r="D33" i="2"/>
  <c r="G19" i="6"/>
  <c r="D29" i="2"/>
  <c r="M18" i="6"/>
  <c r="N18" i="6"/>
  <c r="AH18" i="6"/>
  <c r="N27" i="6"/>
  <c r="AH27" i="6"/>
  <c r="M27" i="6"/>
  <c r="M8" i="6"/>
  <c r="AH8" i="6"/>
  <c r="N8" i="6"/>
  <c r="M22" i="6"/>
  <c r="N22" i="6"/>
  <c r="AH22" i="6"/>
  <c r="M15" i="6"/>
  <c r="N15" i="6"/>
  <c r="N31" i="6"/>
  <c r="AH31" i="6"/>
  <c r="M31" i="6"/>
  <c r="M21" i="6"/>
  <c r="N21" i="6"/>
  <c r="AH21" i="6"/>
  <c r="M12" i="6"/>
  <c r="N12" i="6"/>
  <c r="M20" i="6"/>
  <c r="N20" i="6"/>
  <c r="AH20" i="6"/>
  <c r="M28" i="6"/>
  <c r="N28" i="6"/>
  <c r="AH28" i="6"/>
  <c r="M26" i="6"/>
  <c r="N26" i="6"/>
  <c r="AH26" i="6"/>
  <c r="N19" i="6"/>
  <c r="AH19" i="6"/>
  <c r="M19" i="6"/>
  <c r="N9" i="6"/>
  <c r="AH9" i="6"/>
  <c r="M9" i="6"/>
  <c r="M25" i="6"/>
  <c r="N25" i="6"/>
  <c r="AH25" i="6"/>
  <c r="M11" i="6"/>
  <c r="N11" i="6"/>
  <c r="M10" i="6"/>
  <c r="N10" i="6"/>
  <c r="M14" i="6"/>
  <c r="N14" i="6"/>
  <c r="M30" i="6"/>
  <c r="N30" i="6"/>
  <c r="AH30" i="6"/>
  <c r="N23" i="6"/>
  <c r="AH23" i="6"/>
  <c r="M23" i="6"/>
  <c r="N13" i="6"/>
  <c r="M13" i="6"/>
  <c r="M29" i="6"/>
  <c r="N29" i="6"/>
  <c r="AH29" i="6"/>
  <c r="M24" i="6"/>
  <c r="N24" i="6"/>
  <c r="AH24" i="6"/>
  <c r="P7" i="6"/>
  <c r="U7" i="6" s="1"/>
  <c r="M7" i="6"/>
  <c r="N7" i="6"/>
  <c r="AH7" i="6"/>
  <c r="G17" i="6"/>
  <c r="D27" i="2"/>
  <c r="N17" i="6"/>
  <c r="M17" i="6"/>
  <c r="AH17" i="6"/>
  <c r="G16" i="6"/>
  <c r="M16" i="6"/>
  <c r="N16" i="6"/>
  <c r="D26" i="2"/>
  <c r="AH16" i="6"/>
  <c r="D25" i="2"/>
  <c r="G15" i="6"/>
  <c r="AH15" i="6"/>
  <c r="AH14" i="6"/>
  <c r="AH13" i="6"/>
  <c r="AJ12" i="6"/>
  <c r="AH12" i="6"/>
  <c r="AH11" i="6"/>
  <c r="AH10" i="6"/>
  <c r="AJ8" i="6"/>
  <c r="S26" i="6"/>
  <c r="AJ26" i="6"/>
  <c r="O26" i="6"/>
  <c r="T26" i="6" s="1"/>
  <c r="S8" i="6"/>
  <c r="O8" i="6"/>
  <c r="T8" i="6" s="1"/>
  <c r="O30" i="6"/>
  <c r="T30" i="6" s="1"/>
  <c r="AJ30" i="6"/>
  <c r="S30" i="6"/>
  <c r="S12" i="6"/>
  <c r="O12" i="6"/>
  <c r="T12" i="6" s="1"/>
  <c r="AJ20" i="6"/>
  <c r="S20" i="6"/>
  <c r="O20" i="6"/>
  <c r="T20" i="6" s="1"/>
  <c r="AJ28" i="6"/>
  <c r="O28" i="6"/>
  <c r="T28" i="6" s="1"/>
  <c r="S28" i="6"/>
  <c r="S19" i="6"/>
  <c r="O19" i="6"/>
  <c r="T19" i="6" s="1"/>
  <c r="AJ19" i="6"/>
  <c r="AJ25" i="6"/>
  <c r="S25" i="6"/>
  <c r="O25" i="6"/>
  <c r="T25" i="6" s="1"/>
  <c r="O14" i="6"/>
  <c r="T14" i="6" s="1"/>
  <c r="AJ14" i="6"/>
  <c r="S14" i="6"/>
  <c r="AJ13" i="6"/>
  <c r="S13" i="6"/>
  <c r="O13" i="6"/>
  <c r="T13" i="6" s="1"/>
  <c r="S18" i="6"/>
  <c r="AJ18" i="6"/>
  <c r="O18" i="6"/>
  <c r="T18" i="6" s="1"/>
  <c r="S10" i="6"/>
  <c r="O10" i="6"/>
  <c r="T10" i="6" s="1"/>
  <c r="AJ10" i="6"/>
  <c r="S9" i="6"/>
  <c r="O9" i="6"/>
  <c r="T9" i="6" s="1"/>
  <c r="AJ9" i="6"/>
  <c r="S23" i="6"/>
  <c r="O23" i="6"/>
  <c r="T23" i="6" s="1"/>
  <c r="AJ23" i="6"/>
  <c r="AJ29" i="6"/>
  <c r="S29" i="6"/>
  <c r="O29" i="6"/>
  <c r="T29" i="6" s="1"/>
  <c r="S27" i="6"/>
  <c r="O27" i="6"/>
  <c r="T27" i="6" s="1"/>
  <c r="AJ27" i="6"/>
  <c r="AJ17" i="6"/>
  <c r="S17" i="6"/>
  <c r="O17" i="6"/>
  <c r="T17" i="6" s="1"/>
  <c r="O22" i="6"/>
  <c r="T22" i="6" s="1"/>
  <c r="AJ22" i="6"/>
  <c r="S22" i="6"/>
  <c r="S15" i="6"/>
  <c r="O15" i="6"/>
  <c r="T15" i="6" s="1"/>
  <c r="AJ15" i="6"/>
  <c r="S31" i="6"/>
  <c r="O31" i="6"/>
  <c r="T31" i="6" s="1"/>
  <c r="AJ31" i="6"/>
  <c r="AJ21" i="6"/>
  <c r="S21" i="6"/>
  <c r="O21" i="6"/>
  <c r="T21" i="6" s="1"/>
  <c r="R16" i="6"/>
  <c r="AJ16" i="6"/>
  <c r="S16" i="6"/>
  <c r="O16" i="6"/>
  <c r="T16" i="6" s="1"/>
  <c r="P24" i="6"/>
  <c r="U24" i="6" s="1"/>
  <c r="AJ24" i="6"/>
  <c r="S24" i="6"/>
  <c r="O24" i="6"/>
  <c r="T24" i="6" s="1"/>
  <c r="R7" i="6"/>
  <c r="AJ7" i="6"/>
  <c r="S7" i="6"/>
  <c r="O7" i="6"/>
  <c r="T7" i="6" s="1"/>
  <c r="AJ11" i="6"/>
  <c r="S11" i="6"/>
  <c r="O11" i="6"/>
  <c r="T11" i="6" s="1"/>
  <c r="Q24" i="6"/>
  <c r="BO7" i="6"/>
  <c r="Q16" i="6"/>
  <c r="AJ23" i="20"/>
  <c r="R24" i="6"/>
  <c r="P16" i="6"/>
  <c r="U16" i="6" s="1"/>
  <c r="Q7" i="6"/>
  <c r="P8" i="6"/>
  <c r="U8" i="6" s="1"/>
  <c r="R20" i="6"/>
  <c r="P12" i="6"/>
  <c r="U12" i="6" s="1"/>
  <c r="Q20" i="6"/>
  <c r="Q8" i="6"/>
  <c r="R8" i="6"/>
  <c r="P28" i="6"/>
  <c r="U28" i="6" s="1"/>
  <c r="R12" i="6"/>
  <c r="R28" i="6"/>
  <c r="P20" i="6"/>
  <c r="U20" i="6" s="1"/>
  <c r="Q12" i="6"/>
  <c r="Q28" i="6"/>
  <c r="R15" i="6"/>
  <c r="P15" i="6"/>
  <c r="U15" i="6" s="1"/>
  <c r="Q15" i="6"/>
  <c r="R31" i="6"/>
  <c r="P31" i="6"/>
  <c r="U31" i="6" s="1"/>
  <c r="Q31" i="6"/>
  <c r="R21" i="6"/>
  <c r="Q21" i="6"/>
  <c r="P21" i="6"/>
  <c r="U21" i="6" s="1"/>
  <c r="P19" i="6"/>
  <c r="U19" i="6" s="1"/>
  <c r="Q19" i="6"/>
  <c r="R19" i="6"/>
  <c r="Q14" i="6"/>
  <c r="P14" i="6"/>
  <c r="U14" i="6" s="1"/>
  <c r="R14" i="6"/>
  <c r="Q13" i="6"/>
  <c r="R13" i="6"/>
  <c r="P13" i="6"/>
  <c r="U13" i="6" s="1"/>
  <c r="Q22" i="6"/>
  <c r="P22" i="6"/>
  <c r="U22" i="6" s="1"/>
  <c r="R22" i="6"/>
  <c r="Q10" i="6"/>
  <c r="P10" i="6"/>
  <c r="U10" i="6" s="1"/>
  <c r="R10" i="6"/>
  <c r="Q26" i="6"/>
  <c r="P26" i="6"/>
  <c r="U26" i="6" s="1"/>
  <c r="R26" i="6"/>
  <c r="R9" i="6"/>
  <c r="Q9" i="6"/>
  <c r="P9" i="6"/>
  <c r="U9" i="6" s="1"/>
  <c r="R25" i="6"/>
  <c r="P25" i="6"/>
  <c r="U25" i="6" s="1"/>
  <c r="Q25" i="6"/>
  <c r="Q30" i="6"/>
  <c r="P30" i="6"/>
  <c r="U30" i="6" s="1"/>
  <c r="R30" i="6"/>
  <c r="P23" i="6"/>
  <c r="U23" i="6" s="1"/>
  <c r="Q23" i="6"/>
  <c r="R23" i="6"/>
  <c r="Q29" i="6"/>
  <c r="R29" i="6"/>
  <c r="P29" i="6"/>
  <c r="U29" i="6" s="1"/>
  <c r="Q18" i="6"/>
  <c r="P18" i="6"/>
  <c r="U18" i="6" s="1"/>
  <c r="R18" i="6"/>
  <c r="P11" i="6"/>
  <c r="U11" i="6" s="1"/>
  <c r="Q11" i="6"/>
  <c r="R11" i="6"/>
  <c r="P27" i="6"/>
  <c r="U27" i="6" s="1"/>
  <c r="Q27" i="6"/>
  <c r="R27" i="6"/>
  <c r="P17" i="6"/>
  <c r="U17" i="6" s="1"/>
  <c r="Q17" i="6"/>
  <c r="R17" i="6"/>
  <c r="AL7" i="6" l="1"/>
  <c r="AM7" i="6"/>
  <c r="AN7" i="6"/>
  <c r="A2" i="15"/>
  <c r="I2" i="6"/>
  <c r="G59" i="18"/>
  <c r="C59" i="18"/>
  <c r="B1" i="18"/>
  <c r="L56" i="17"/>
  <c r="C56" i="17"/>
  <c r="A1" i="17"/>
  <c r="K79" i="16"/>
  <c r="C79" i="16"/>
  <c r="A1" i="16"/>
  <c r="G11" i="2"/>
  <c r="G10" i="2"/>
  <c r="G9" i="2"/>
  <c r="G8" i="2"/>
  <c r="C12" i="2"/>
  <c r="C11" i="2"/>
  <c r="C10" i="2"/>
  <c r="C9" i="2"/>
  <c r="C8" i="2"/>
  <c r="C7" i="2"/>
  <c r="A1" i="15"/>
  <c r="U27" i="11"/>
  <c r="T27" i="11"/>
  <c r="L50" i="15"/>
  <c r="B50" i="15"/>
  <c r="I2" i="10"/>
  <c r="J2" i="10"/>
  <c r="I3" i="10"/>
  <c r="J3" i="10"/>
  <c r="I4" i="10"/>
  <c r="J4" i="10"/>
  <c r="I5" i="10"/>
  <c r="J5" i="10"/>
  <c r="I6" i="10"/>
  <c r="J6" i="10"/>
  <c r="I7" i="10"/>
  <c r="J7" i="10"/>
  <c r="I8" i="10"/>
  <c r="J8" i="10"/>
  <c r="I9" i="10"/>
  <c r="J9" i="10"/>
  <c r="I10" i="10"/>
  <c r="J10" i="10"/>
  <c r="I11" i="10"/>
  <c r="J11" i="10"/>
  <c r="I29" i="10"/>
  <c r="I30" i="10"/>
  <c r="I31" i="10"/>
  <c r="I32" i="10"/>
  <c r="I33" i="10"/>
  <c r="I34" i="10"/>
  <c r="I35" i="10"/>
  <c r="I36" i="10"/>
  <c r="I37" i="10"/>
  <c r="I40" i="10"/>
  <c r="J40" i="10"/>
  <c r="I41" i="10"/>
  <c r="J41" i="10"/>
  <c r="I42" i="10"/>
  <c r="J42" i="10"/>
  <c r="I43" i="10"/>
  <c r="J43" i="10"/>
  <c r="I44" i="10"/>
  <c r="J44" i="10"/>
  <c r="I45" i="10"/>
  <c r="J45" i="10"/>
  <c r="I46" i="10"/>
  <c r="J46" i="10"/>
  <c r="I47" i="10"/>
  <c r="J47" i="10"/>
  <c r="I7" i="6"/>
  <c r="AK7" i="6" s="1"/>
  <c r="AS7" i="6" s="1"/>
  <c r="J7" i="6"/>
  <c r="F2" i="11" s="1"/>
  <c r="V7" i="6"/>
  <c r="I8" i="6"/>
  <c r="AI8" i="6" s="1"/>
  <c r="J8" i="6"/>
  <c r="F3" i="11" s="1"/>
  <c r="V8" i="6"/>
  <c r="X8" i="6"/>
  <c r="I9" i="6"/>
  <c r="AI9" i="6" s="1"/>
  <c r="J9" i="6"/>
  <c r="F4" i="11" s="1"/>
  <c r="V9" i="6"/>
  <c r="I10" i="6"/>
  <c r="AI10" i="6" s="1"/>
  <c r="AN10" i="6" s="1"/>
  <c r="J10" i="6"/>
  <c r="F5" i="11" s="1"/>
  <c r="V10" i="6"/>
  <c r="I11" i="6"/>
  <c r="AI11" i="6" s="1"/>
  <c r="AN11" i="6" s="1"/>
  <c r="J11" i="6"/>
  <c r="F6" i="11" s="1"/>
  <c r="V11" i="6"/>
  <c r="X11" i="6"/>
  <c r="I12" i="6"/>
  <c r="AI12" i="6" s="1"/>
  <c r="J12" i="6"/>
  <c r="F7" i="11" s="1"/>
  <c r="V12" i="6"/>
  <c r="I13" i="6"/>
  <c r="J13" i="6"/>
  <c r="F8" i="11" s="1"/>
  <c r="V13" i="6"/>
  <c r="I14" i="6"/>
  <c r="AK14" i="6" s="1"/>
  <c r="J14" i="6"/>
  <c r="F9" i="11" s="1"/>
  <c r="V14" i="6"/>
  <c r="X14" i="6"/>
  <c r="I15" i="6"/>
  <c r="AI15" i="6" s="1"/>
  <c r="J15" i="6"/>
  <c r="F10" i="11" s="1"/>
  <c r="V15" i="6"/>
  <c r="X15" i="6"/>
  <c r="I16" i="6"/>
  <c r="AI16" i="6" s="1"/>
  <c r="J16" i="6"/>
  <c r="F11" i="11" s="1"/>
  <c r="V16" i="6"/>
  <c r="I17" i="6"/>
  <c r="AI17" i="6" s="1"/>
  <c r="J17" i="6"/>
  <c r="F12" i="11" s="1"/>
  <c r="V17" i="6"/>
  <c r="I18" i="6"/>
  <c r="AI18" i="6" s="1"/>
  <c r="J18" i="6"/>
  <c r="F13" i="11" s="1"/>
  <c r="V18" i="6"/>
  <c r="X18" i="6"/>
  <c r="I19" i="6"/>
  <c r="AI19" i="6" s="1"/>
  <c r="J19" i="6"/>
  <c r="F14" i="11" s="1"/>
  <c r="V19" i="6"/>
  <c r="X19" i="6"/>
  <c r="I20" i="6"/>
  <c r="AI20" i="6" s="1"/>
  <c r="J20" i="6"/>
  <c r="F15" i="11" s="1"/>
  <c r="V20" i="6"/>
  <c r="X20" i="6"/>
  <c r="I21" i="6"/>
  <c r="AI21" i="6" s="1"/>
  <c r="J21" i="6"/>
  <c r="F16" i="11" s="1"/>
  <c r="V21" i="6"/>
  <c r="I22" i="6"/>
  <c r="AI22" i="6" s="1"/>
  <c r="J22" i="6"/>
  <c r="F17" i="11" s="1"/>
  <c r="V22" i="6"/>
  <c r="X22" i="6"/>
  <c r="I23" i="6"/>
  <c r="AI23" i="6" s="1"/>
  <c r="J23" i="6"/>
  <c r="F18" i="11" s="1"/>
  <c r="V23" i="6"/>
  <c r="I24" i="6"/>
  <c r="AI24" i="6" s="1"/>
  <c r="J24" i="6"/>
  <c r="F19" i="11" s="1"/>
  <c r="V24" i="6"/>
  <c r="I25" i="6"/>
  <c r="AI25" i="6" s="1"/>
  <c r="J25" i="6"/>
  <c r="F20" i="11" s="1"/>
  <c r="V25" i="6"/>
  <c r="I26" i="6"/>
  <c r="AI26" i="6" s="1"/>
  <c r="J26" i="6"/>
  <c r="F21" i="11" s="1"/>
  <c r="V26" i="6"/>
  <c r="X26" i="6"/>
  <c r="I27" i="6"/>
  <c r="AI27" i="6" s="1"/>
  <c r="J27" i="6"/>
  <c r="F22" i="11" s="1"/>
  <c r="V27" i="6"/>
  <c r="I28" i="6"/>
  <c r="AI28" i="6" s="1"/>
  <c r="J28" i="6"/>
  <c r="F23" i="11" s="1"/>
  <c r="V28" i="6"/>
  <c r="X28" i="6"/>
  <c r="I29" i="6"/>
  <c r="AI29" i="6" s="1"/>
  <c r="J29" i="6"/>
  <c r="F24" i="11" s="1"/>
  <c r="V29" i="6"/>
  <c r="I30" i="6"/>
  <c r="AI30" i="6" s="1"/>
  <c r="J30" i="6"/>
  <c r="F25" i="11" s="1"/>
  <c r="V30" i="6"/>
  <c r="X30" i="6"/>
  <c r="I31" i="6"/>
  <c r="AI31" i="6" s="1"/>
  <c r="J31" i="6"/>
  <c r="F26" i="11" s="1"/>
  <c r="V31" i="6"/>
  <c r="F7" i="3"/>
  <c r="F8" i="3"/>
  <c r="F9" i="3"/>
  <c r="F10" i="3"/>
  <c r="F11" i="3"/>
  <c r="F12" i="3"/>
  <c r="F13" i="3"/>
  <c r="F14" i="3"/>
  <c r="F15" i="3"/>
  <c r="F16" i="3"/>
  <c r="F17" i="3"/>
  <c r="F18" i="3"/>
  <c r="F19" i="3"/>
  <c r="F20" i="3"/>
  <c r="F25" i="3"/>
  <c r="F26" i="3"/>
  <c r="F27" i="3"/>
  <c r="F28" i="3"/>
  <c r="F29" i="3"/>
  <c r="F30" i="3"/>
  <c r="F31" i="3"/>
  <c r="F32" i="3"/>
  <c r="F33" i="3"/>
  <c r="F34" i="3"/>
  <c r="A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3" i="12"/>
  <c r="A44" i="12"/>
  <c r="A45" i="12"/>
  <c r="A46" i="12"/>
  <c r="A47" i="12"/>
  <c r="A48" i="12"/>
  <c r="A49" i="12"/>
  <c r="A50" i="12"/>
  <c r="A51" i="12"/>
  <c r="A52" i="12"/>
  <c r="A53" i="12"/>
  <c r="A54" i="12"/>
  <c r="A55" i="12"/>
  <c r="A56" i="12"/>
  <c r="A57" i="12"/>
  <c r="A58" i="12"/>
  <c r="A59" i="12"/>
  <c r="A60" i="12"/>
  <c r="A61" i="12"/>
  <c r="A62" i="12"/>
  <c r="A63" i="12"/>
  <c r="A64" i="12"/>
  <c r="A65" i="12"/>
  <c r="D69" i="12"/>
  <c r="D70" i="12"/>
  <c r="D71" i="12"/>
  <c r="D72" i="12"/>
  <c r="D73" i="12"/>
  <c r="D74" i="12"/>
  <c r="AG2" i="11"/>
  <c r="AH2" i="11"/>
  <c r="AJ2" i="11"/>
  <c r="AK2" i="11"/>
  <c r="A3" i="11"/>
  <c r="A4" i="1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G3" i="11"/>
  <c r="AH3" i="11"/>
  <c r="AJ3" i="11"/>
  <c r="AK3" i="11"/>
  <c r="AG4" i="11"/>
  <c r="AH4" i="11"/>
  <c r="AJ4" i="11"/>
  <c r="AK4" i="11"/>
  <c r="AG5" i="11"/>
  <c r="AH5" i="11"/>
  <c r="AJ5" i="11"/>
  <c r="AK5" i="11"/>
  <c r="AG6" i="11"/>
  <c r="AH6" i="11"/>
  <c r="AJ6" i="11"/>
  <c r="AK6" i="11"/>
  <c r="AG7" i="11"/>
  <c r="AH7" i="11"/>
  <c r="AJ7" i="11"/>
  <c r="AK7" i="11"/>
  <c r="AG8" i="11"/>
  <c r="AH8" i="11"/>
  <c r="AJ8" i="11"/>
  <c r="AK8" i="11"/>
  <c r="AG9" i="11"/>
  <c r="AH9" i="11"/>
  <c r="AJ9" i="11"/>
  <c r="AK9" i="11"/>
  <c r="AG10" i="11"/>
  <c r="AH10" i="11"/>
  <c r="AJ10" i="11"/>
  <c r="AK10" i="11"/>
  <c r="AG11" i="11"/>
  <c r="AH11" i="11"/>
  <c r="AJ11" i="11"/>
  <c r="AK11" i="11"/>
  <c r="AG12" i="11"/>
  <c r="AH12" i="11"/>
  <c r="AJ12" i="11"/>
  <c r="AK12" i="11"/>
  <c r="AG13" i="11"/>
  <c r="AH13" i="11"/>
  <c r="AJ13" i="11"/>
  <c r="AK13" i="11"/>
  <c r="AG14" i="11"/>
  <c r="AH14" i="11"/>
  <c r="AJ14" i="11"/>
  <c r="AK14" i="11"/>
  <c r="AG15" i="11"/>
  <c r="AH15" i="11"/>
  <c r="AJ15" i="11"/>
  <c r="AK15" i="11"/>
  <c r="AG16" i="11"/>
  <c r="AH16" i="11"/>
  <c r="AJ16" i="11"/>
  <c r="AK16" i="11"/>
  <c r="AG17" i="11"/>
  <c r="AH17" i="11"/>
  <c r="AJ17" i="11"/>
  <c r="AK17" i="11"/>
  <c r="AG18" i="11"/>
  <c r="AH18" i="11"/>
  <c r="AJ18" i="11"/>
  <c r="AK18" i="11"/>
  <c r="AG19" i="11"/>
  <c r="AH19" i="11"/>
  <c r="AJ19" i="11"/>
  <c r="AK19" i="11"/>
  <c r="AG20" i="11"/>
  <c r="AH20" i="11"/>
  <c r="AJ20" i="11"/>
  <c r="AK20" i="11"/>
  <c r="AG21" i="11"/>
  <c r="AH21" i="11"/>
  <c r="AJ21" i="11"/>
  <c r="AK21" i="11"/>
  <c r="AG22" i="11"/>
  <c r="AH22" i="11"/>
  <c r="AJ22" i="11"/>
  <c r="AK22" i="11"/>
  <c r="AG23" i="11"/>
  <c r="AH23" i="11"/>
  <c r="AJ23" i="11"/>
  <c r="AK23" i="11"/>
  <c r="AG24" i="11"/>
  <c r="AH24" i="11"/>
  <c r="AJ24" i="11"/>
  <c r="AK24" i="11"/>
  <c r="AG25" i="11"/>
  <c r="AH25" i="11"/>
  <c r="AJ25" i="11"/>
  <c r="AK25" i="11"/>
  <c r="AG26" i="11"/>
  <c r="AH26" i="11"/>
  <c r="AJ26" i="11"/>
  <c r="AK26" i="11"/>
  <c r="B1" i="14"/>
  <c r="D111" i="14"/>
  <c r="B1" i="13"/>
  <c r="C3" i="13"/>
  <c r="E11" i="13"/>
  <c r="E12" i="13"/>
  <c r="D13" i="13"/>
  <c r="C26" i="13"/>
  <c r="E26" i="13" s="1"/>
  <c r="A27" i="13"/>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C27" i="13"/>
  <c r="E27" i="13" s="1"/>
  <c r="C28" i="13"/>
  <c r="E28" i="13" s="1"/>
  <c r="C29" i="13"/>
  <c r="E29" i="13" s="1"/>
  <c r="C30" i="13"/>
  <c r="E30" i="13" s="1"/>
  <c r="C31" i="13"/>
  <c r="E31" i="13" s="1"/>
  <c r="C32" i="13"/>
  <c r="E32" i="13" s="1"/>
  <c r="C33" i="13"/>
  <c r="E33" i="13" s="1"/>
  <c r="C34" i="13"/>
  <c r="E34" i="13" s="1"/>
  <c r="C35" i="13"/>
  <c r="E35" i="13" s="1"/>
  <c r="C36" i="13"/>
  <c r="E36" i="13" s="1"/>
  <c r="C37" i="13"/>
  <c r="E37" i="13" s="1"/>
  <c r="C38" i="13"/>
  <c r="E38" i="13" s="1"/>
  <c r="C39" i="13"/>
  <c r="E39" i="13" s="1"/>
  <c r="C40" i="13"/>
  <c r="E40" i="13" s="1"/>
  <c r="C41" i="13"/>
  <c r="E41" i="13" s="1"/>
  <c r="C42" i="13"/>
  <c r="E42" i="13" s="1"/>
  <c r="C43" i="13"/>
  <c r="E43" i="13" s="1"/>
  <c r="C44" i="13"/>
  <c r="E44" i="13" s="1"/>
  <c r="C45" i="13"/>
  <c r="E45" i="13" s="1"/>
  <c r="C46" i="13"/>
  <c r="E46" i="13" s="1"/>
  <c r="C47" i="13"/>
  <c r="E47" i="13" s="1"/>
  <c r="C48" i="13"/>
  <c r="E48" i="13" s="1"/>
  <c r="C49" i="13"/>
  <c r="E49" i="13" s="1"/>
  <c r="C50" i="13"/>
  <c r="E50" i="13" s="1"/>
  <c r="C54" i="13"/>
  <c r="E54" i="13"/>
  <c r="F54" i="13"/>
  <c r="A55" i="13"/>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C55" i="13"/>
  <c r="E55" i="13"/>
  <c r="F55" i="13"/>
  <c r="C56" i="13"/>
  <c r="E56" i="13"/>
  <c r="F56" i="13"/>
  <c r="C57" i="13"/>
  <c r="E57" i="13"/>
  <c r="F57" i="13"/>
  <c r="C58" i="13"/>
  <c r="E58" i="13"/>
  <c r="F58" i="13"/>
  <c r="C59" i="13"/>
  <c r="E59" i="13"/>
  <c r="F59" i="13"/>
  <c r="C60" i="13"/>
  <c r="E60" i="13"/>
  <c r="F60" i="13"/>
  <c r="C61" i="13"/>
  <c r="E61" i="13"/>
  <c r="F61" i="13"/>
  <c r="C62" i="13"/>
  <c r="E62" i="13"/>
  <c r="F62" i="13"/>
  <c r="C63" i="13"/>
  <c r="E63" i="13"/>
  <c r="F63" i="13"/>
  <c r="C64" i="13"/>
  <c r="E64" i="13"/>
  <c r="F64" i="13"/>
  <c r="C65" i="13"/>
  <c r="E65" i="13"/>
  <c r="F65" i="13"/>
  <c r="C66" i="13"/>
  <c r="E66" i="13"/>
  <c r="F66" i="13"/>
  <c r="C67" i="13"/>
  <c r="E67" i="13"/>
  <c r="F67" i="13"/>
  <c r="C68" i="13"/>
  <c r="E68" i="13"/>
  <c r="F68" i="13"/>
  <c r="C69" i="13"/>
  <c r="E69" i="13"/>
  <c r="F69" i="13"/>
  <c r="C70" i="13"/>
  <c r="E70" i="13"/>
  <c r="F70" i="13"/>
  <c r="C71" i="13"/>
  <c r="E71" i="13"/>
  <c r="F71" i="13"/>
  <c r="C72" i="13"/>
  <c r="E72" i="13"/>
  <c r="F72" i="13"/>
  <c r="C73" i="13"/>
  <c r="E73" i="13"/>
  <c r="F73" i="13"/>
  <c r="C74" i="13"/>
  <c r="E74" i="13"/>
  <c r="F74" i="13"/>
  <c r="C75" i="13"/>
  <c r="E75" i="13"/>
  <c r="F75" i="13"/>
  <c r="C76" i="13"/>
  <c r="E76" i="13"/>
  <c r="F76" i="13"/>
  <c r="C77" i="13"/>
  <c r="E77" i="13"/>
  <c r="F77" i="13"/>
  <c r="C78" i="13"/>
  <c r="E78" i="13"/>
  <c r="F78" i="13"/>
  <c r="B2" i="2"/>
  <c r="C5" i="2"/>
  <c r="AI2" i="11"/>
  <c r="Q18" i="2"/>
  <c r="R18" i="2" s="1"/>
  <c r="Q19" i="2"/>
  <c r="Q20" i="2"/>
  <c r="Q21" i="2"/>
  <c r="AI6" i="11" s="1"/>
  <c r="Q22" i="2"/>
  <c r="R22" i="2" s="1"/>
  <c r="Q23" i="2"/>
  <c r="R23" i="2" s="1"/>
  <c r="Q24" i="2"/>
  <c r="R24" i="2" s="1"/>
  <c r="Q25" i="2"/>
  <c r="R25" i="2" s="1"/>
  <c r="Q26" i="2"/>
  <c r="Q27" i="2"/>
  <c r="AI12" i="11" s="1"/>
  <c r="Q28" i="2"/>
  <c r="R28" i="2" s="1"/>
  <c r="Q29" i="2"/>
  <c r="Q30" i="2"/>
  <c r="Q31" i="2"/>
  <c r="Q32" i="2"/>
  <c r="Q33" i="2"/>
  <c r="Q34" i="2"/>
  <c r="Q35" i="2"/>
  <c r="Q36" i="2"/>
  <c r="Q37" i="2"/>
  <c r="Q38" i="2"/>
  <c r="Q39" i="2"/>
  <c r="Q40" i="2"/>
  <c r="AI25" i="11" s="1"/>
  <c r="Q41" i="2"/>
  <c r="AE43" i="2"/>
  <c r="B1" i="1"/>
  <c r="AC26" i="11"/>
  <c r="AE26" i="11" s="1"/>
  <c r="AD26" i="11"/>
  <c r="AC23" i="11"/>
  <c r="AD23" i="11"/>
  <c r="AD25" i="11"/>
  <c r="AC25" i="11"/>
  <c r="AC24" i="11"/>
  <c r="AD24" i="11"/>
  <c r="AC16" i="11"/>
  <c r="AE16" i="11" s="1"/>
  <c r="AD16" i="11"/>
  <c r="AC21" i="11"/>
  <c r="AF21" i="11" s="1"/>
  <c r="AD15" i="11"/>
  <c r="AC22" i="11"/>
  <c r="AD21" i="11"/>
  <c r="AD22" i="11"/>
  <c r="AC20" i="11"/>
  <c r="AF20" i="11" s="1"/>
  <c r="AD20" i="11"/>
  <c r="AC17" i="11"/>
  <c r="AF17" i="11" s="1"/>
  <c r="AD19" i="11"/>
  <c r="AC15" i="11"/>
  <c r="AE15" i="11" s="1"/>
  <c r="AC19" i="11"/>
  <c r="AD17" i="11"/>
  <c r="AD14" i="11"/>
  <c r="AC14" i="11"/>
  <c r="AE14" i="11" s="1"/>
  <c r="AD18" i="11"/>
  <c r="AC18" i="11"/>
  <c r="AC13" i="11"/>
  <c r="AF13" i="11" s="1"/>
  <c r="AD13" i="11"/>
  <c r="AD9" i="11"/>
  <c r="AC9" i="11"/>
  <c r="AF9" i="11" s="1"/>
  <c r="AC11" i="11"/>
  <c r="AD11" i="11"/>
  <c r="AD10" i="11"/>
  <c r="AC12" i="11"/>
  <c r="AE12" i="11" s="1"/>
  <c r="AD12" i="11"/>
  <c r="AC10" i="11"/>
  <c r="AF10" i="11" s="1"/>
  <c r="AZ27" i="6" l="1"/>
  <c r="AO27" i="6"/>
  <c r="AO26" i="6"/>
  <c r="AZ26" i="6"/>
  <c r="AO21" i="6"/>
  <c r="AZ21" i="6"/>
  <c r="AO20" i="6"/>
  <c r="AZ20" i="6"/>
  <c r="AZ19" i="6"/>
  <c r="AO19" i="6"/>
  <c r="AO18" i="6"/>
  <c r="AZ18" i="6"/>
  <c r="AO29" i="6"/>
  <c r="AZ29" i="6"/>
  <c r="AO28" i="6"/>
  <c r="AZ28" i="6"/>
  <c r="AO23" i="6"/>
  <c r="AZ23" i="6"/>
  <c r="AO22" i="6"/>
  <c r="AZ22" i="6"/>
  <c r="AZ24" i="6"/>
  <c r="AO24" i="6"/>
  <c r="AO16" i="6"/>
  <c r="AZ16" i="6"/>
  <c r="AO15" i="6"/>
  <c r="AZ15" i="6"/>
  <c r="AO31" i="6"/>
  <c r="AZ31" i="6"/>
  <c r="AO30" i="6"/>
  <c r="AZ30" i="6"/>
  <c r="AO25" i="6"/>
  <c r="AZ25" i="6"/>
  <c r="AO17" i="6"/>
  <c r="AZ17" i="6"/>
  <c r="AI13" i="6"/>
  <c r="AK13" i="6"/>
  <c r="AI14" i="6"/>
  <c r="AQ14" i="6"/>
  <c r="AO13" i="6"/>
  <c r="AN13" i="6"/>
  <c r="AL13" i="6"/>
  <c r="AM13" i="6"/>
  <c r="AK79" i="7"/>
  <c r="AJ79" i="7"/>
  <c r="AI79" i="7"/>
  <c r="AK88" i="7"/>
  <c r="AI90" i="7"/>
  <c r="AJ87" i="7"/>
  <c r="AK5" i="7"/>
  <c r="AI7" i="7"/>
  <c r="AJ8" i="7"/>
  <c r="AK9" i="7"/>
  <c r="AI11" i="7"/>
  <c r="AJ12" i="7"/>
  <c r="AK13" i="7"/>
  <c r="AI15" i="7"/>
  <c r="AJ16" i="7"/>
  <c r="AK17" i="7"/>
  <c r="AI19" i="7"/>
  <c r="AJ20" i="7"/>
  <c r="AK21" i="7"/>
  <c r="AI23" i="7"/>
  <c r="AJ24" i="7"/>
  <c r="AK25" i="7"/>
  <c r="AI27" i="7"/>
  <c r="AJ28" i="7"/>
  <c r="AK29" i="7"/>
  <c r="AI31" i="7"/>
  <c r="AJ32" i="7"/>
  <c r="AK33" i="7"/>
  <c r="AI35" i="7"/>
  <c r="AJ36" i="7"/>
  <c r="AK37" i="7"/>
  <c r="AI39" i="7"/>
  <c r="AJ40" i="7"/>
  <c r="AK41" i="7"/>
  <c r="AI43" i="7"/>
  <c r="AJ44" i="7"/>
  <c r="AK45" i="7"/>
  <c r="AI47" i="7"/>
  <c r="AJ48" i="7"/>
  <c r="AK49" i="7"/>
  <c r="AI51" i="7"/>
  <c r="AJ52" i="7"/>
  <c r="AK53" i="7"/>
  <c r="AI55" i="7"/>
  <c r="AJ56" i="7"/>
  <c r="AK57" i="7"/>
  <c r="AI59" i="7"/>
  <c r="AJ60" i="7"/>
  <c r="AK61" i="7"/>
  <c r="AI63" i="7"/>
  <c r="AJ64" i="7"/>
  <c r="AK65" i="7"/>
  <c r="AI67" i="7"/>
  <c r="AJ68" i="7"/>
  <c r="AK69" i="7"/>
  <c r="AI71" i="7"/>
  <c r="AJ72" i="7"/>
  <c r="AK73" i="7"/>
  <c r="AI75" i="7"/>
  <c r="AJ76" i="7"/>
  <c r="AK77" i="7"/>
  <c r="AI80" i="7"/>
  <c r="AJ81" i="7"/>
  <c r="AK82" i="7"/>
  <c r="AI84" i="7"/>
  <c r="AJ85" i="7"/>
  <c r="AK86" i="7"/>
  <c r="AI88" i="7"/>
  <c r="AK90" i="7"/>
  <c r="AI5" i="7"/>
  <c r="AK7" i="7"/>
  <c r="AJ10" i="7"/>
  <c r="AK11" i="7"/>
  <c r="AJ14" i="7"/>
  <c r="AI17" i="7"/>
  <c r="AJ18" i="7"/>
  <c r="AI21" i="7"/>
  <c r="AK23" i="7"/>
  <c r="AJ26" i="7"/>
  <c r="AK27" i="7"/>
  <c r="AJ30" i="7"/>
  <c r="AI33" i="7"/>
  <c r="AK35" i="7"/>
  <c r="AJ38" i="7"/>
  <c r="AK39" i="7"/>
  <c r="AJ42" i="7"/>
  <c r="AI45" i="7"/>
  <c r="AJ46" i="7"/>
  <c r="AI89" i="7"/>
  <c r="AJ90" i="7"/>
  <c r="AI87" i="7"/>
  <c r="AI6" i="7"/>
  <c r="AJ7" i="7"/>
  <c r="AK8" i="7"/>
  <c r="AI10" i="7"/>
  <c r="AJ11" i="7"/>
  <c r="AK12" i="7"/>
  <c r="AI14" i="7"/>
  <c r="AJ15" i="7"/>
  <c r="AK16" i="7"/>
  <c r="AI18" i="7"/>
  <c r="AJ19" i="7"/>
  <c r="AK20" i="7"/>
  <c r="AI22" i="7"/>
  <c r="AJ23" i="7"/>
  <c r="AK24" i="7"/>
  <c r="AI26" i="7"/>
  <c r="AJ27" i="7"/>
  <c r="AK28" i="7"/>
  <c r="AI30" i="7"/>
  <c r="AJ31" i="7"/>
  <c r="AK32" i="7"/>
  <c r="AI34" i="7"/>
  <c r="AJ35" i="7"/>
  <c r="AK36" i="7"/>
  <c r="AI38" i="7"/>
  <c r="AJ39" i="7"/>
  <c r="AK40" i="7"/>
  <c r="AI42" i="7"/>
  <c r="AJ43" i="7"/>
  <c r="AK44" i="7"/>
  <c r="AI46" i="7"/>
  <c r="AJ47" i="7"/>
  <c r="AK48" i="7"/>
  <c r="AI50" i="7"/>
  <c r="AJ51" i="7"/>
  <c r="AK52" i="7"/>
  <c r="AI54" i="7"/>
  <c r="AJ55" i="7"/>
  <c r="AK56" i="7"/>
  <c r="AI58" i="7"/>
  <c r="AJ59" i="7"/>
  <c r="AK60" i="7"/>
  <c r="AI62" i="7"/>
  <c r="AJ63" i="7"/>
  <c r="AK64" i="7"/>
  <c r="AI66" i="7"/>
  <c r="AJ67" i="7"/>
  <c r="AK68" i="7"/>
  <c r="AI70" i="7"/>
  <c r="AJ71" i="7"/>
  <c r="AK72" i="7"/>
  <c r="AI74" i="7"/>
  <c r="AJ75" i="7"/>
  <c r="AK76" i="7"/>
  <c r="AI78" i="7"/>
  <c r="AJ80" i="7"/>
  <c r="AK81" i="7"/>
  <c r="AI83" i="7"/>
  <c r="AJ84" i="7"/>
  <c r="AK85" i="7"/>
  <c r="AK4" i="7"/>
  <c r="AJ89" i="7"/>
  <c r="AJ6" i="7"/>
  <c r="AI9" i="7"/>
  <c r="AI13" i="7"/>
  <c r="AK15" i="7"/>
  <c r="AK19" i="7"/>
  <c r="AJ22" i="7"/>
  <c r="AI25" i="7"/>
  <c r="AI29" i="7"/>
  <c r="AK31" i="7"/>
  <c r="AJ34" i="7"/>
  <c r="AI37" i="7"/>
  <c r="AI41" i="7"/>
  <c r="AK43" i="7"/>
  <c r="AK87" i="7"/>
  <c r="AJ9" i="7"/>
  <c r="AK14" i="7"/>
  <c r="AI20" i="7"/>
  <c r="AJ25" i="7"/>
  <c r="AK30" i="7"/>
  <c r="AI36" i="7"/>
  <c r="AJ41" i="7"/>
  <c r="AK46" i="7"/>
  <c r="AJ49" i="7"/>
  <c r="AI52" i="7"/>
  <c r="AK54" i="7"/>
  <c r="AJ57" i="7"/>
  <c r="AI60" i="7"/>
  <c r="AK62" i="7"/>
  <c r="AJ65" i="7"/>
  <c r="AK70" i="7"/>
  <c r="AJ73" i="7"/>
  <c r="AI76" i="7"/>
  <c r="AJ82" i="7"/>
  <c r="AJ5" i="7"/>
  <c r="AK10" i="7"/>
  <c r="AI16" i="7"/>
  <c r="AJ21" i="7"/>
  <c r="AK26" i="7"/>
  <c r="AI32" i="7"/>
  <c r="AJ37" i="7"/>
  <c r="AK42" i="7"/>
  <c r="AK47" i="7"/>
  <c r="AJ50" i="7"/>
  <c r="AI53" i="7"/>
  <c r="AK55" i="7"/>
  <c r="AJ58" i="7"/>
  <c r="AI61" i="7"/>
  <c r="AK63" i="7"/>
  <c r="AJ66" i="7"/>
  <c r="AI69" i="7"/>
  <c r="AK71" i="7"/>
  <c r="AJ74" i="7"/>
  <c r="AI77" i="7"/>
  <c r="AK80" i="7"/>
  <c r="AJ83" i="7"/>
  <c r="AI86" i="7"/>
  <c r="AJ88" i="7"/>
  <c r="AK6" i="7"/>
  <c r="AI12" i="7"/>
  <c r="AJ17" i="7"/>
  <c r="AK22" i="7"/>
  <c r="AI28" i="7"/>
  <c r="AJ33" i="7"/>
  <c r="AK38" i="7"/>
  <c r="AI44" i="7"/>
  <c r="AI48" i="7"/>
  <c r="AK50" i="7"/>
  <c r="AJ53" i="7"/>
  <c r="AI56" i="7"/>
  <c r="AK58" i="7"/>
  <c r="AJ61" i="7"/>
  <c r="AI64" i="7"/>
  <c r="AK66" i="7"/>
  <c r="AJ69" i="7"/>
  <c r="AI72" i="7"/>
  <c r="AK74" i="7"/>
  <c r="AJ77" i="7"/>
  <c r="AI81" i="7"/>
  <c r="AK83" i="7"/>
  <c r="AJ86" i="7"/>
  <c r="AK89" i="7"/>
  <c r="AI8" i="7"/>
  <c r="AJ13" i="7"/>
  <c r="AK18" i="7"/>
  <c r="AI24" i="7"/>
  <c r="AJ29" i="7"/>
  <c r="AK34" i="7"/>
  <c r="AI40" i="7"/>
  <c r="AJ45" i="7"/>
  <c r="AI49" i="7"/>
  <c r="AK51" i="7"/>
  <c r="AJ54" i="7"/>
  <c r="AI57" i="7"/>
  <c r="AK59" i="7"/>
  <c r="AJ62" i="7"/>
  <c r="AI65" i="7"/>
  <c r="AK67" i="7"/>
  <c r="AJ70" i="7"/>
  <c r="AI73" i="7"/>
  <c r="AK75" i="7"/>
  <c r="AJ78" i="7"/>
  <c r="AI82" i="7"/>
  <c r="AK84" i="7"/>
  <c r="AJ4" i="7"/>
  <c r="AI68" i="7"/>
  <c r="AK78" i="7"/>
  <c r="AI85" i="7"/>
  <c r="AI4" i="7"/>
  <c r="AO12" i="6"/>
  <c r="AZ12" i="6"/>
  <c r="AM12" i="6"/>
  <c r="AN12" i="6"/>
  <c r="AL12" i="6"/>
  <c r="AN9" i="6"/>
  <c r="AM9" i="6"/>
  <c r="AL9" i="6"/>
  <c r="AN8" i="6"/>
  <c r="AM8" i="6"/>
  <c r="AL8" i="6"/>
  <c r="D12" i="25"/>
  <c r="D12" i="24"/>
  <c r="AO10" i="6"/>
  <c r="AM10" i="6"/>
  <c r="AL10" i="6"/>
  <c r="AO11" i="6"/>
  <c r="AM11" i="6"/>
  <c r="AL11" i="6"/>
  <c r="AO8" i="6"/>
  <c r="AO9" i="6"/>
  <c r="O23" i="21"/>
  <c r="O24" i="24"/>
  <c r="O23" i="25"/>
  <c r="D10" i="21"/>
  <c r="D10" i="24"/>
  <c r="D10" i="25"/>
  <c r="D11" i="25"/>
  <c r="D11" i="24"/>
  <c r="D9" i="24"/>
  <c r="D9" i="25"/>
  <c r="D8" i="21"/>
  <c r="D8" i="25"/>
  <c r="D8" i="24"/>
  <c r="D7" i="21"/>
  <c r="D7" i="24"/>
  <c r="D7" i="25"/>
  <c r="AR27" i="6"/>
  <c r="AQ27" i="6"/>
  <c r="AS27" i="6"/>
  <c r="AT27" i="6" s="1"/>
  <c r="BG27" i="6" s="1"/>
  <c r="AI10" i="11"/>
  <c r="AI9" i="11"/>
  <c r="AR14" i="6"/>
  <c r="AR31" i="6"/>
  <c r="AQ31" i="6"/>
  <c r="AS31" i="6"/>
  <c r="AQ30" i="6"/>
  <c r="AR30" i="6"/>
  <c r="AS30" i="6"/>
  <c r="AR29" i="6"/>
  <c r="AQ29" i="6"/>
  <c r="AS29" i="6"/>
  <c r="AT29" i="6" s="1"/>
  <c r="BG29" i="6" s="1"/>
  <c r="AQ28" i="6"/>
  <c r="AR28" i="6"/>
  <c r="AS28" i="6"/>
  <c r="AQ24" i="6"/>
  <c r="AR24" i="6"/>
  <c r="AS24" i="6"/>
  <c r="AQ23" i="6"/>
  <c r="AR23" i="6"/>
  <c r="AS23" i="6"/>
  <c r="AR22" i="6"/>
  <c r="AQ22" i="6"/>
  <c r="AS22" i="6"/>
  <c r="AQ21" i="6"/>
  <c r="AR21" i="6"/>
  <c r="AS21" i="6"/>
  <c r="AR20" i="6"/>
  <c r="AQ20" i="6"/>
  <c r="AS20" i="6"/>
  <c r="AQ19" i="6"/>
  <c r="AR19" i="6"/>
  <c r="AS19" i="6"/>
  <c r="AR18" i="6"/>
  <c r="AQ18" i="6"/>
  <c r="AS18" i="6"/>
  <c r="AQ17" i="6"/>
  <c r="AR17" i="6"/>
  <c r="AS17" i="6"/>
  <c r="BD17" i="6" s="1"/>
  <c r="AQ16" i="6"/>
  <c r="AR16" i="6"/>
  <c r="AS16" i="6"/>
  <c r="AR15" i="6"/>
  <c r="AQ15" i="6"/>
  <c r="AS15" i="6"/>
  <c r="AQ11" i="6"/>
  <c r="AR11" i="6"/>
  <c r="AS11" i="6"/>
  <c r="AI26" i="11"/>
  <c r="AI15" i="11"/>
  <c r="R32" i="2"/>
  <c r="AI22" i="11"/>
  <c r="R41" i="2"/>
  <c r="AI18" i="11"/>
  <c r="R30" i="2"/>
  <c r="R37" i="2"/>
  <c r="AI11" i="11"/>
  <c r="R26" i="2"/>
  <c r="R21" i="2"/>
  <c r="X9" i="6"/>
  <c r="R34" i="2"/>
  <c r="R17" i="2"/>
  <c r="AI16" i="11"/>
  <c r="R35" i="2"/>
  <c r="R31" i="2"/>
  <c r="D8" i="13"/>
  <c r="R40" i="2"/>
  <c r="D9" i="13"/>
  <c r="D9" i="21"/>
  <c r="D12" i="13"/>
  <c r="D12" i="21"/>
  <c r="AI24" i="11"/>
  <c r="R39" i="2"/>
  <c r="AI21" i="11"/>
  <c r="D10" i="13"/>
  <c r="AI13" i="11"/>
  <c r="D11" i="13"/>
  <c r="D11" i="21"/>
  <c r="R20" i="2"/>
  <c r="AI20" i="11"/>
  <c r="AI5" i="11"/>
  <c r="R38" i="2"/>
  <c r="AI19" i="11"/>
  <c r="R27" i="2"/>
  <c r="W31" i="6"/>
  <c r="W30" i="6"/>
  <c r="Y30" i="6" s="1"/>
  <c r="BR30" i="6" s="1"/>
  <c r="BU30" i="6" s="1"/>
  <c r="W29" i="6"/>
  <c r="W28" i="6"/>
  <c r="Y28" i="6" s="1"/>
  <c r="BR28" i="6" s="1"/>
  <c r="BU28" i="6" s="1"/>
  <c r="W27" i="6"/>
  <c r="W26" i="6"/>
  <c r="Y26" i="6" s="1"/>
  <c r="BR26" i="6" s="1"/>
  <c r="BU26" i="6" s="1"/>
  <c r="W25" i="6"/>
  <c r="W24" i="6"/>
  <c r="W23" i="6"/>
  <c r="W22" i="6"/>
  <c r="Y22" i="6" s="1"/>
  <c r="BR22" i="6" s="1"/>
  <c r="BU22" i="6" s="1"/>
  <c r="W21" i="6"/>
  <c r="W20" i="6"/>
  <c r="Y20" i="6" s="1"/>
  <c r="BR20" i="6" s="1"/>
  <c r="BU20" i="6" s="1"/>
  <c r="W19" i="6"/>
  <c r="Y19" i="6" s="1"/>
  <c r="BR19" i="6" s="1"/>
  <c r="BU19" i="6" s="1"/>
  <c r="W18" i="6"/>
  <c r="Y18" i="6" s="1"/>
  <c r="BR18" i="6" s="1"/>
  <c r="BU18" i="6" s="1"/>
  <c r="W17" i="6"/>
  <c r="W16" i="6"/>
  <c r="W15" i="6"/>
  <c r="Y15" i="6" s="1"/>
  <c r="BR15" i="6" s="1"/>
  <c r="BU15" i="6" s="1"/>
  <c r="W14" i="6"/>
  <c r="Y14" i="6" s="1"/>
  <c r="W13" i="6"/>
  <c r="W12" i="6"/>
  <c r="W11" i="6"/>
  <c r="Y11" i="6" s="1"/>
  <c r="W10" i="6"/>
  <c r="W9" i="6"/>
  <c r="W8" i="6"/>
  <c r="Y8" i="6" s="1"/>
  <c r="W7" i="6"/>
  <c r="X21" i="6"/>
  <c r="X16" i="6"/>
  <c r="X10" i="6"/>
  <c r="X12" i="6"/>
  <c r="X25" i="6"/>
  <c r="X23" i="6"/>
  <c r="X13" i="6"/>
  <c r="X29" i="6"/>
  <c r="X7" i="6"/>
  <c r="X24" i="6"/>
  <c r="X31" i="6"/>
  <c r="X17" i="6"/>
  <c r="X27" i="6"/>
  <c r="AI8" i="11"/>
  <c r="AI7" i="11"/>
  <c r="AI4" i="11"/>
  <c r="Q26" i="11"/>
  <c r="Q24" i="11"/>
  <c r="Q20" i="11"/>
  <c r="Q18" i="11"/>
  <c r="Q16" i="11"/>
  <c r="Q14" i="11"/>
  <c r="Q12" i="11"/>
  <c r="Q10" i="11"/>
  <c r="Q6" i="11"/>
  <c r="Q4" i="11"/>
  <c r="Q2" i="11"/>
  <c r="O2" i="11"/>
  <c r="O23" i="11"/>
  <c r="O19" i="11"/>
  <c r="O15" i="11"/>
  <c r="P26" i="11"/>
  <c r="R25" i="11"/>
  <c r="P24" i="11"/>
  <c r="R23" i="11"/>
  <c r="P22" i="11"/>
  <c r="R21" i="11"/>
  <c r="P20" i="11"/>
  <c r="R19" i="11"/>
  <c r="P16" i="11"/>
  <c r="R15" i="11"/>
  <c r="P14" i="11"/>
  <c r="P12" i="11"/>
  <c r="R11" i="11"/>
  <c r="R9" i="11"/>
  <c r="R7" i="11"/>
  <c r="P6" i="11"/>
  <c r="P4" i="11"/>
  <c r="P2" i="11"/>
  <c r="O26" i="11"/>
  <c r="O22" i="11"/>
  <c r="O18" i="11"/>
  <c r="O14" i="11"/>
  <c r="O10" i="11"/>
  <c r="O6" i="11"/>
  <c r="Q25" i="11"/>
  <c r="Q21" i="11"/>
  <c r="Q17" i="11"/>
  <c r="Q13" i="11"/>
  <c r="Q9" i="11"/>
  <c r="Q5" i="11"/>
  <c r="O25" i="11"/>
  <c r="O21" i="11"/>
  <c r="O17" i="11"/>
  <c r="O13" i="11"/>
  <c r="O9" i="11"/>
  <c r="O5" i="11"/>
  <c r="R26" i="11"/>
  <c r="P25" i="11"/>
  <c r="P23" i="11"/>
  <c r="R22" i="11"/>
  <c r="P21" i="11"/>
  <c r="R20" i="11"/>
  <c r="P19" i="11"/>
  <c r="P17" i="11"/>
  <c r="P15" i="11"/>
  <c r="P13" i="11"/>
  <c r="R12" i="11"/>
  <c r="P11" i="11"/>
  <c r="R10" i="11"/>
  <c r="P9" i="11"/>
  <c r="R8" i="11"/>
  <c r="P7" i="11"/>
  <c r="R6" i="11"/>
  <c r="P5" i="11"/>
  <c r="P3" i="11"/>
  <c r="R2" i="11"/>
  <c r="O24" i="11"/>
  <c r="O20" i="11"/>
  <c r="O16" i="11"/>
  <c r="O12" i="11"/>
  <c r="O8" i="11"/>
  <c r="O4" i="11"/>
  <c r="Q23" i="11"/>
  <c r="Q15" i="11"/>
  <c r="Q11" i="11"/>
  <c r="Q3" i="11"/>
  <c r="BI2" i="6"/>
  <c r="R36" i="2"/>
  <c r="R29" i="2"/>
  <c r="R33" i="2"/>
  <c r="AI14" i="11"/>
  <c r="AI23" i="11"/>
  <c r="AI17" i="11"/>
  <c r="R19" i="2"/>
  <c r="AE21" i="11"/>
  <c r="AI3" i="11"/>
  <c r="G13" i="11"/>
  <c r="G14" i="11"/>
  <c r="G2" i="11"/>
  <c r="G8" i="11"/>
  <c r="G11" i="11"/>
  <c r="G10" i="11"/>
  <c r="G22" i="11"/>
  <c r="C3" i="9"/>
  <c r="G7" i="11"/>
  <c r="G4" i="11"/>
  <c r="G23" i="11"/>
  <c r="G16" i="11"/>
  <c r="G19" i="11"/>
  <c r="G20" i="11"/>
  <c r="O23" i="13"/>
  <c r="G18" i="11"/>
  <c r="G15" i="11"/>
  <c r="G26" i="11"/>
  <c r="G5" i="11"/>
  <c r="G21" i="11"/>
  <c r="G3" i="11"/>
  <c r="G12" i="11"/>
  <c r="G24" i="11"/>
  <c r="G17" i="11"/>
  <c r="G9" i="11"/>
  <c r="G25" i="11"/>
  <c r="Q8" i="11"/>
  <c r="Q7" i="11"/>
  <c r="G6" i="11"/>
  <c r="Q19" i="11"/>
  <c r="P8" i="11"/>
  <c r="AF12" i="11"/>
  <c r="AF15" i="11"/>
  <c r="AE13" i="11"/>
  <c r="AE9" i="11"/>
  <c r="AE10" i="11"/>
  <c r="AF26" i="11"/>
  <c r="AE17" i="11"/>
  <c r="AF14" i="11"/>
  <c r="AF16" i="11"/>
  <c r="AE20" i="11"/>
  <c r="AE11" i="11"/>
  <c r="AF11" i="11"/>
  <c r="AF19" i="11"/>
  <c r="AE19" i="11"/>
  <c r="AF25" i="11"/>
  <c r="AE25" i="11"/>
  <c r="AE22" i="11"/>
  <c r="AF22" i="11"/>
  <c r="AE23" i="11"/>
  <c r="AF23" i="11"/>
  <c r="P10" i="11"/>
  <c r="O7" i="11"/>
  <c r="Q22" i="11"/>
  <c r="P18" i="11"/>
  <c r="R16" i="11"/>
  <c r="D7" i="13"/>
  <c r="C2" i="9"/>
  <c r="O11" i="11"/>
  <c r="O3" i="11"/>
  <c r="R24" i="11"/>
  <c r="AF18" i="11"/>
  <c r="AE18" i="11"/>
  <c r="AE24" i="11"/>
  <c r="AF24" i="11"/>
  <c r="R3" i="11"/>
  <c r="R18" i="11"/>
  <c r="R14" i="11"/>
  <c r="R5" i="11"/>
  <c r="R4" i="11"/>
  <c r="R13" i="11"/>
  <c r="R17" i="11"/>
  <c r="AS14" i="6" l="1"/>
  <c r="AT14" i="6" s="1"/>
  <c r="BG14" i="6" s="1"/>
  <c r="AO14" i="6"/>
  <c r="AZ14" i="6"/>
  <c r="AL14" i="6"/>
  <c r="AN14" i="6"/>
  <c r="AU14" i="6" s="1"/>
  <c r="AX14" i="6" s="1"/>
  <c r="AM14" i="6"/>
  <c r="AV28" i="6"/>
  <c r="AW28" i="6" s="1"/>
  <c r="AV22" i="6"/>
  <c r="AW22" i="6" s="1"/>
  <c r="AV29" i="6"/>
  <c r="AW29" i="6" s="1"/>
  <c r="BD27" i="6"/>
  <c r="AU9" i="6"/>
  <c r="AX9" i="6" s="1"/>
  <c r="AZ9" i="6" s="1"/>
  <c r="AT31" i="6"/>
  <c r="BG31" i="6" s="1"/>
  <c r="BD31" i="6"/>
  <c r="AV31" i="6"/>
  <c r="AW31" i="6" s="1"/>
  <c r="AV30" i="6"/>
  <c r="AW30" i="6" s="1"/>
  <c r="BD30" i="6"/>
  <c r="AT30" i="6"/>
  <c r="BG30" i="6" s="1"/>
  <c r="BD29" i="6"/>
  <c r="AT28" i="6"/>
  <c r="BG28" i="6" s="1"/>
  <c r="BD28" i="6"/>
  <c r="AV27" i="6"/>
  <c r="AW27" i="6" s="1"/>
  <c r="AS26" i="6"/>
  <c r="AR26" i="6"/>
  <c r="AQ26" i="6"/>
  <c r="AV25" i="6"/>
  <c r="AW25" i="6" s="1"/>
  <c r="AS25" i="6"/>
  <c r="AQ25" i="6"/>
  <c r="AR25" i="6"/>
  <c r="AV24" i="6"/>
  <c r="AW24" i="6" s="1"/>
  <c r="BD24" i="6"/>
  <c r="AT24" i="6"/>
  <c r="BG24" i="6" s="1"/>
  <c r="AT23" i="6"/>
  <c r="BG23" i="6" s="1"/>
  <c r="BD23" i="6"/>
  <c r="BD22" i="6"/>
  <c r="AT22" i="6"/>
  <c r="BG22" i="6" s="1"/>
  <c r="AV21" i="6"/>
  <c r="AW21" i="6" s="1"/>
  <c r="AT21" i="6"/>
  <c r="BG21" i="6" s="1"/>
  <c r="BD21" i="6"/>
  <c r="AV20" i="6"/>
  <c r="AW20" i="6" s="1"/>
  <c r="AT20" i="6"/>
  <c r="BG20" i="6" s="1"/>
  <c r="BD20" i="6"/>
  <c r="BD19" i="6"/>
  <c r="AT19" i="6"/>
  <c r="BG19" i="6" s="1"/>
  <c r="AV18" i="6"/>
  <c r="AW18" i="6" s="1"/>
  <c r="AT18" i="6"/>
  <c r="BG18" i="6" s="1"/>
  <c r="BD18" i="6"/>
  <c r="AT17" i="6"/>
  <c r="BG17" i="6" s="1"/>
  <c r="AT16" i="6"/>
  <c r="BG16" i="6" s="1"/>
  <c r="BD16" i="6"/>
  <c r="BD15" i="6"/>
  <c r="AT15" i="6"/>
  <c r="BG15" i="6" s="1"/>
  <c r="AV15" i="6"/>
  <c r="AW15" i="6" s="1"/>
  <c r="AS13" i="6"/>
  <c r="AQ13" i="6"/>
  <c r="AR13" i="6"/>
  <c r="AY11" i="6"/>
  <c r="AV11" i="6"/>
  <c r="AW11" i="6" s="1"/>
  <c r="BD11" i="6"/>
  <c r="AT11" i="6"/>
  <c r="BG11" i="6" s="1"/>
  <c r="AY27" i="6"/>
  <c r="AU27" i="6"/>
  <c r="AX27" i="6" s="1"/>
  <c r="AY30" i="6"/>
  <c r="AU30" i="6"/>
  <c r="AX30" i="6" s="1"/>
  <c r="AU17" i="6"/>
  <c r="AX17" i="6" s="1"/>
  <c r="AU19" i="6"/>
  <c r="AX19" i="6" s="1"/>
  <c r="AY21" i="6"/>
  <c r="AU21" i="6"/>
  <c r="AX21" i="6" s="1"/>
  <c r="AU29" i="6"/>
  <c r="AX29" i="6" s="1"/>
  <c r="AY29" i="6"/>
  <c r="AU18" i="6"/>
  <c r="AX18" i="6" s="1"/>
  <c r="AY18" i="6"/>
  <c r="AU11" i="6"/>
  <c r="AX11" i="6" s="1"/>
  <c r="AZ11" i="6" s="1"/>
  <c r="BP14" i="6"/>
  <c r="BQ14" i="6" s="1"/>
  <c r="BR14" i="6" s="1"/>
  <c r="BU14" i="6" s="1"/>
  <c r="BP18" i="6"/>
  <c r="BQ18" i="6" s="1"/>
  <c r="BP22" i="6"/>
  <c r="BQ22" i="6" s="1"/>
  <c r="BP26" i="6"/>
  <c r="BQ26" i="6" s="1"/>
  <c r="BP30" i="6"/>
  <c r="BQ30" i="6" s="1"/>
  <c r="AR12" i="6"/>
  <c r="AQ12" i="6"/>
  <c r="AS12" i="6"/>
  <c r="AV16" i="6"/>
  <c r="AW16" i="6" s="1"/>
  <c r="AV17" i="6"/>
  <c r="AW17" i="6" s="1"/>
  <c r="AY17" i="6"/>
  <c r="AV19" i="6"/>
  <c r="AW19" i="6" s="1"/>
  <c r="AY19" i="6"/>
  <c r="AQ7" i="6"/>
  <c r="AQ9" i="6"/>
  <c r="AR9" i="6"/>
  <c r="AS9" i="6"/>
  <c r="AV23" i="6"/>
  <c r="AW23" i="6" s="1"/>
  <c r="AY23" i="6"/>
  <c r="AU15" i="6"/>
  <c r="AX15" i="6" s="1"/>
  <c r="AY15" i="6"/>
  <c r="AY31" i="6"/>
  <c r="AU31" i="6"/>
  <c r="AX31" i="6" s="1"/>
  <c r="AU22" i="6"/>
  <c r="AX22" i="6" s="1"/>
  <c r="AY22" i="6"/>
  <c r="BP11" i="6"/>
  <c r="BQ11" i="6" s="1"/>
  <c r="BP15" i="6"/>
  <c r="BQ15" i="6" s="1"/>
  <c r="BP19" i="6"/>
  <c r="BQ19" i="6" s="1"/>
  <c r="AU23" i="6"/>
  <c r="AX23" i="6" s="1"/>
  <c r="BP8" i="6"/>
  <c r="BQ8" i="6" s="1"/>
  <c r="BR8" i="6" s="1"/>
  <c r="BP20" i="6"/>
  <c r="BQ20" i="6" s="1"/>
  <c r="BP28" i="6"/>
  <c r="BQ28" i="6" s="1"/>
  <c r="AQ8" i="6"/>
  <c r="AR8" i="6"/>
  <c r="AS8" i="6"/>
  <c r="AQ10" i="6"/>
  <c r="AR10" i="6"/>
  <c r="AS10" i="6"/>
  <c r="AR7" i="6"/>
  <c r="Y9" i="6"/>
  <c r="Y25" i="6"/>
  <c r="BR25" i="6" s="1"/>
  <c r="BU25" i="6" s="1"/>
  <c r="Y17" i="6"/>
  <c r="BR17" i="6" s="1"/>
  <c r="BU17" i="6" s="1"/>
  <c r="Y12" i="6"/>
  <c r="Y23" i="6"/>
  <c r="BR23" i="6" s="1"/>
  <c r="BU23" i="6" s="1"/>
  <c r="Y13" i="6"/>
  <c r="Y16" i="6"/>
  <c r="BR16" i="6" s="1"/>
  <c r="BU16" i="6" s="1"/>
  <c r="Y24" i="6"/>
  <c r="BR24" i="6" s="1"/>
  <c r="BU24" i="6" s="1"/>
  <c r="Y10" i="6"/>
  <c r="Y21" i="6"/>
  <c r="BR21" i="6" s="1"/>
  <c r="BU21" i="6" s="1"/>
  <c r="Y27" i="6"/>
  <c r="BR27" i="6" s="1"/>
  <c r="BU27" i="6" s="1"/>
  <c r="Y29" i="6"/>
  <c r="BR29" i="6" s="1"/>
  <c r="BU29" i="6" s="1"/>
  <c r="Y31" i="6"/>
  <c r="BR31" i="6" s="1"/>
  <c r="BU31" i="6" s="1"/>
  <c r="Y7" i="6"/>
  <c r="AD18" i="2"/>
  <c r="AH18" i="2" s="1"/>
  <c r="AD36" i="2"/>
  <c r="AH36" i="2" s="1"/>
  <c r="AD25" i="2"/>
  <c r="AH25" i="2" s="1"/>
  <c r="AU16" i="6"/>
  <c r="AX16" i="6" s="1"/>
  <c r="BU8" i="6" l="1"/>
  <c r="AV14" i="6"/>
  <c r="AW14" i="6" s="1"/>
  <c r="AY14" i="6"/>
  <c r="BA14" i="6" s="1"/>
  <c r="BB14" i="6" s="1"/>
  <c r="BH14" i="6" s="1"/>
  <c r="BI14" i="6" s="1"/>
  <c r="BD14" i="6"/>
  <c r="BR11" i="6"/>
  <c r="BU11" i="6" s="1"/>
  <c r="BA11" i="6"/>
  <c r="BB11" i="6" s="1"/>
  <c r="BH11" i="6" s="1"/>
  <c r="BI11" i="6" s="1"/>
  <c r="AV13" i="6"/>
  <c r="AW13" i="6" s="1"/>
  <c r="AV26" i="6"/>
  <c r="AW26" i="6" s="1"/>
  <c r="AU8" i="6"/>
  <c r="AX8" i="6" s="1"/>
  <c r="AZ8" i="6" s="1"/>
  <c r="AU10" i="6"/>
  <c r="AX10" i="6" s="1"/>
  <c r="AZ10" i="6" s="1"/>
  <c r="AU25" i="6"/>
  <c r="AX25" i="6" s="1"/>
  <c r="AU13" i="6"/>
  <c r="AX13" i="6" s="1"/>
  <c r="AZ13" i="6" s="1"/>
  <c r="AU26" i="6"/>
  <c r="AX26" i="6" s="1"/>
  <c r="BE11" i="6"/>
  <c r="C25" i="11"/>
  <c r="S25" i="11" s="1"/>
  <c r="C23" i="11"/>
  <c r="D23" i="11" s="1"/>
  <c r="AY26" i="6"/>
  <c r="BC26" i="6" s="1"/>
  <c r="C21" i="11"/>
  <c r="D21" i="11" s="1"/>
  <c r="BD26" i="6"/>
  <c r="AT26" i="6"/>
  <c r="BG26" i="6" s="1"/>
  <c r="AY25" i="6"/>
  <c r="BE25" i="6" s="1"/>
  <c r="BD25" i="6"/>
  <c r="AT25" i="6"/>
  <c r="BG25" i="6" s="1"/>
  <c r="C17" i="11"/>
  <c r="D17" i="11" s="1"/>
  <c r="C15" i="11"/>
  <c r="S15" i="11" s="1"/>
  <c r="C13" i="11"/>
  <c r="S13" i="11" s="1"/>
  <c r="C10" i="11"/>
  <c r="D10" i="11" s="1"/>
  <c r="AY13" i="6"/>
  <c r="BD13" i="6"/>
  <c r="AT13" i="6"/>
  <c r="BG13" i="6" s="1"/>
  <c r="BC11" i="6"/>
  <c r="BJ11" i="6"/>
  <c r="BL11" i="6" s="1"/>
  <c r="BM11" i="6" s="1"/>
  <c r="AY9" i="6"/>
  <c r="BJ9" i="6" s="1"/>
  <c r="BL9" i="6" s="1"/>
  <c r="BM9" i="6" s="1"/>
  <c r="AV9" i="6"/>
  <c r="AW9" i="6" s="1"/>
  <c r="AV7" i="6"/>
  <c r="AW7" i="6" s="1"/>
  <c r="AU28" i="6"/>
  <c r="AX28" i="6" s="1"/>
  <c r="AY28" i="6"/>
  <c r="AU24" i="6"/>
  <c r="AX24" i="6" s="1"/>
  <c r="AY24" i="6"/>
  <c r="AU12" i="6"/>
  <c r="AX12" i="6" s="1"/>
  <c r="BP27" i="6"/>
  <c r="BQ27" i="6" s="1"/>
  <c r="BP16" i="6"/>
  <c r="BQ16" i="6" s="1"/>
  <c r="BP17" i="6"/>
  <c r="BQ17" i="6" s="1"/>
  <c r="BP9" i="6"/>
  <c r="BQ9" i="6" s="1"/>
  <c r="AT10" i="6"/>
  <c r="BG10" i="6" s="1"/>
  <c r="BD10" i="6"/>
  <c r="BE31" i="6"/>
  <c r="BT31" i="6" s="1"/>
  <c r="BA31" i="6"/>
  <c r="BB31" i="6" s="1"/>
  <c r="BH31" i="6" s="1"/>
  <c r="BI31" i="6" s="1"/>
  <c r="BJ31" i="6"/>
  <c r="BC31" i="6"/>
  <c r="BA17" i="6"/>
  <c r="BB17" i="6" s="1"/>
  <c r="BH17" i="6" s="1"/>
  <c r="BI17" i="6" s="1"/>
  <c r="BE17" i="6"/>
  <c r="BT17" i="6" s="1"/>
  <c r="BJ17" i="6"/>
  <c r="BL17" i="6" s="1"/>
  <c r="BM17" i="6" s="1"/>
  <c r="BC17" i="6"/>
  <c r="AT12" i="6"/>
  <c r="BG12" i="6" s="1"/>
  <c r="BD12" i="6"/>
  <c r="BC18" i="6"/>
  <c r="BA18" i="6"/>
  <c r="BB18" i="6" s="1"/>
  <c r="BH18" i="6" s="1"/>
  <c r="BI18" i="6" s="1"/>
  <c r="BE18" i="6"/>
  <c r="BT18" i="6" s="1"/>
  <c r="BJ18" i="6"/>
  <c r="BL18" i="6" s="1"/>
  <c r="BM18" i="6" s="1"/>
  <c r="AE28" i="2" s="1"/>
  <c r="BP21" i="6"/>
  <c r="BQ21" i="6" s="1"/>
  <c r="BP13" i="6"/>
  <c r="BQ13" i="6" s="1"/>
  <c r="BR13" i="6" s="1"/>
  <c r="BU13" i="6" s="1"/>
  <c r="AV12" i="6"/>
  <c r="AW12" i="6" s="1"/>
  <c r="AY12" i="6"/>
  <c r="BA22" i="6"/>
  <c r="BB22" i="6" s="1"/>
  <c r="BH22" i="6" s="1"/>
  <c r="BI22" i="6" s="1"/>
  <c r="BE22" i="6"/>
  <c r="BT22" i="6" s="1"/>
  <c r="BC22" i="6"/>
  <c r="BJ22" i="6"/>
  <c r="BL22" i="6" s="1"/>
  <c r="BM22" i="6" s="1"/>
  <c r="AE32" i="2" s="1"/>
  <c r="BE15" i="6"/>
  <c r="BT15" i="6" s="1"/>
  <c r="BC15" i="6"/>
  <c r="BJ15" i="6"/>
  <c r="BL15" i="6" s="1"/>
  <c r="BM15" i="6" s="1"/>
  <c r="AE25" i="2" s="1"/>
  <c r="BA15" i="6"/>
  <c r="BB15" i="6" s="1"/>
  <c r="BH15" i="6" s="1"/>
  <c r="BI15" i="6" s="1"/>
  <c r="BD9" i="6"/>
  <c r="AT9" i="6"/>
  <c r="BG9" i="6" s="1"/>
  <c r="BA21" i="6"/>
  <c r="BB21" i="6" s="1"/>
  <c r="BH21" i="6" s="1"/>
  <c r="BI21" i="6" s="1"/>
  <c r="BE21" i="6"/>
  <c r="BT21" i="6" s="1"/>
  <c r="BJ21" i="6"/>
  <c r="BL21" i="6" s="1"/>
  <c r="BM21" i="6" s="1"/>
  <c r="AE31" i="2" s="1"/>
  <c r="BC21" i="6"/>
  <c r="BE30" i="6"/>
  <c r="BT30" i="6" s="1"/>
  <c r="BA30" i="6"/>
  <c r="BB30" i="6" s="1"/>
  <c r="BH30" i="6" s="1"/>
  <c r="BI30" i="6" s="1"/>
  <c r="BC30" i="6"/>
  <c r="BJ30" i="6"/>
  <c r="BL30" i="6" s="1"/>
  <c r="BM30" i="6" s="1"/>
  <c r="AE40" i="2" s="1"/>
  <c r="BP31" i="6"/>
  <c r="BQ31" i="6" s="1"/>
  <c r="BL31" i="6"/>
  <c r="BM31" i="6" s="1"/>
  <c r="AE41" i="2" s="1"/>
  <c r="BP10" i="6"/>
  <c r="BQ10" i="6" s="1"/>
  <c r="BP23" i="6"/>
  <c r="BQ23" i="6" s="1"/>
  <c r="BE19" i="6"/>
  <c r="BT19" i="6" s="1"/>
  <c r="BA19" i="6"/>
  <c r="BB19" i="6" s="1"/>
  <c r="BH19" i="6" s="1"/>
  <c r="BI19" i="6" s="1"/>
  <c r="BJ19" i="6"/>
  <c r="BL19" i="6" s="1"/>
  <c r="BM19" i="6" s="1"/>
  <c r="AE29" i="2" s="1"/>
  <c r="BC19" i="6"/>
  <c r="AY16" i="6"/>
  <c r="BJ29" i="6"/>
  <c r="BL29" i="6" s="1"/>
  <c r="BM29" i="6" s="1"/>
  <c r="AE39" i="2" s="1"/>
  <c r="BA29" i="6"/>
  <c r="BB29" i="6" s="1"/>
  <c r="BH29" i="6" s="1"/>
  <c r="BI29" i="6" s="1"/>
  <c r="BE29" i="6"/>
  <c r="BT29" i="6" s="1"/>
  <c r="BC29" i="6"/>
  <c r="AU20" i="6"/>
  <c r="AX20" i="6" s="1"/>
  <c r="AY20" i="6"/>
  <c r="BP29" i="6"/>
  <c r="BQ29" i="6" s="1"/>
  <c r="BP24" i="6"/>
  <c r="BQ24" i="6" s="1"/>
  <c r="BP12" i="6"/>
  <c r="BQ12" i="6" s="1"/>
  <c r="BR12" i="6" s="1"/>
  <c r="BU12" i="6" s="1"/>
  <c r="BP25" i="6"/>
  <c r="BQ25" i="6" s="1"/>
  <c r="AV8" i="6"/>
  <c r="AW8" i="6" s="1"/>
  <c r="AY8" i="6"/>
  <c r="AT8" i="6"/>
  <c r="BG8" i="6" s="1"/>
  <c r="BD8" i="6"/>
  <c r="BE23" i="6"/>
  <c r="BT23" i="6" s="1"/>
  <c r="BA23" i="6"/>
  <c r="BB23" i="6" s="1"/>
  <c r="BH23" i="6" s="1"/>
  <c r="BI23" i="6" s="1"/>
  <c r="BC23" i="6"/>
  <c r="BJ23" i="6"/>
  <c r="BL23" i="6" s="1"/>
  <c r="BM23" i="6" s="1"/>
  <c r="AE33" i="2" s="1"/>
  <c r="AV10" i="6"/>
  <c r="AW10" i="6" s="1"/>
  <c r="AY10" i="6"/>
  <c r="BJ27" i="6"/>
  <c r="BL27" i="6" s="1"/>
  <c r="BM27" i="6" s="1"/>
  <c r="AE37" i="2" s="1"/>
  <c r="BA27" i="6"/>
  <c r="BB27" i="6" s="1"/>
  <c r="BH27" i="6" s="1"/>
  <c r="BI27" i="6" s="1"/>
  <c r="BE27" i="6"/>
  <c r="BT27" i="6" s="1"/>
  <c r="BC27" i="6"/>
  <c r="AY7" i="6"/>
  <c r="BP7" i="6"/>
  <c r="AD19" i="2"/>
  <c r="AH19" i="2" s="1"/>
  <c r="AD33" i="2"/>
  <c r="AH33" i="2" s="1"/>
  <c r="AD22" i="2"/>
  <c r="AH22" i="2" s="1"/>
  <c r="AD35" i="2"/>
  <c r="AH35" i="2" s="1"/>
  <c r="AD27" i="2"/>
  <c r="AH27" i="2" s="1"/>
  <c r="AD23" i="2"/>
  <c r="AH23" i="2" s="1"/>
  <c r="AD26" i="2"/>
  <c r="AH26" i="2" s="1"/>
  <c r="AU7" i="6"/>
  <c r="AX7" i="6" s="1"/>
  <c r="AZ7" i="6" s="1"/>
  <c r="AD38" i="2"/>
  <c r="AH38" i="2" s="1"/>
  <c r="AD21" i="2"/>
  <c r="AH21" i="2" s="1"/>
  <c r="AD39" i="2"/>
  <c r="AH39" i="2" s="1"/>
  <c r="AD28" i="2"/>
  <c r="AH28" i="2" s="1"/>
  <c r="AD30" i="2"/>
  <c r="AH30" i="2" s="1"/>
  <c r="AD40" i="2"/>
  <c r="AH40" i="2" s="1"/>
  <c r="AD31" i="2"/>
  <c r="AH31" i="2" s="1"/>
  <c r="AD17" i="2"/>
  <c r="AH17" i="2" s="1"/>
  <c r="AD20" i="2"/>
  <c r="AH20" i="2" s="1"/>
  <c r="AD34" i="2"/>
  <c r="AH34" i="2" s="1"/>
  <c r="AD37" i="2"/>
  <c r="AH37" i="2" s="1"/>
  <c r="AD32" i="2"/>
  <c r="AH32" i="2" s="1"/>
  <c r="AD41" i="2"/>
  <c r="AH41" i="2" s="1"/>
  <c r="AD29" i="2"/>
  <c r="AH29" i="2" s="1"/>
  <c r="AD24" i="2"/>
  <c r="AH24" i="2" s="1"/>
  <c r="BK1" i="6"/>
  <c r="BT25" i="6" l="1"/>
  <c r="BE14" i="6"/>
  <c r="BT14" i="6" s="1"/>
  <c r="BJ14" i="6"/>
  <c r="BL14" i="6" s="1"/>
  <c r="BM14" i="6" s="1"/>
  <c r="BC14" i="6"/>
  <c r="BA13" i="6"/>
  <c r="BB13" i="6" s="1"/>
  <c r="BH13" i="6" s="1"/>
  <c r="BI13" i="6" s="1"/>
  <c r="BR9" i="6"/>
  <c r="BU9" i="6" s="1"/>
  <c r="BR10" i="6"/>
  <c r="BU10" i="6" s="1"/>
  <c r="BC10" i="6"/>
  <c r="BF11" i="6"/>
  <c r="BT11" i="6"/>
  <c r="BC8" i="6"/>
  <c r="BS11" i="6"/>
  <c r="BK11" i="6"/>
  <c r="BS14" i="6"/>
  <c r="BE9" i="6"/>
  <c r="BT9" i="6" s="1"/>
  <c r="BA9" i="6"/>
  <c r="BB9" i="6" s="1"/>
  <c r="BH9" i="6" s="1"/>
  <c r="BI9" i="6" s="1"/>
  <c r="BC9" i="6"/>
  <c r="BA25" i="6"/>
  <c r="BB25" i="6" s="1"/>
  <c r="BH25" i="6" s="1"/>
  <c r="BI25" i="6" s="1"/>
  <c r="BC25" i="6"/>
  <c r="S17" i="11"/>
  <c r="BC13" i="6"/>
  <c r="C26" i="11"/>
  <c r="E26" i="11" s="1"/>
  <c r="J26" i="11" s="1"/>
  <c r="E25" i="11"/>
  <c r="D25" i="11"/>
  <c r="C24" i="11"/>
  <c r="S24" i="11" s="1"/>
  <c r="S23" i="11"/>
  <c r="E23" i="11"/>
  <c r="C22" i="11"/>
  <c r="D22" i="11" s="1"/>
  <c r="BA26" i="6"/>
  <c r="BB26" i="6" s="1"/>
  <c r="BH26" i="6" s="1"/>
  <c r="BI26" i="6" s="1"/>
  <c r="BE26" i="6"/>
  <c r="BJ26" i="6"/>
  <c r="BL26" i="6" s="1"/>
  <c r="BM26" i="6" s="1"/>
  <c r="AE36" i="2" s="1"/>
  <c r="S21" i="11"/>
  <c r="E21" i="11"/>
  <c r="BJ25" i="6"/>
  <c r="BL25" i="6" s="1"/>
  <c r="BM25" i="6" s="1"/>
  <c r="AE35" i="2" s="1"/>
  <c r="C20" i="11"/>
  <c r="E20" i="11" s="1"/>
  <c r="C19" i="11"/>
  <c r="D19" i="11" s="1"/>
  <c r="C18" i="11"/>
  <c r="D18" i="11" s="1"/>
  <c r="E17" i="11"/>
  <c r="C16" i="11"/>
  <c r="E16" i="11" s="1"/>
  <c r="D15" i="11"/>
  <c r="E15" i="11"/>
  <c r="D13" i="11"/>
  <c r="E13" i="11"/>
  <c r="S10" i="11"/>
  <c r="E10" i="11"/>
  <c r="BJ13" i="6"/>
  <c r="BL13" i="6" s="1"/>
  <c r="BM13" i="6" s="1"/>
  <c r="BE13" i="6"/>
  <c r="BA8" i="6"/>
  <c r="BB8" i="6" s="1"/>
  <c r="BH8" i="6" s="1"/>
  <c r="BI8" i="6" s="1"/>
  <c r="BE8" i="6"/>
  <c r="BT8" i="6" s="1"/>
  <c r="BA16" i="6"/>
  <c r="BB16" i="6" s="1"/>
  <c r="BH16" i="6" s="1"/>
  <c r="BI16" i="6" s="1"/>
  <c r="BE16" i="6"/>
  <c r="BT16" i="6" s="1"/>
  <c r="BC16" i="6"/>
  <c r="BJ16" i="6"/>
  <c r="BL16" i="6" s="1"/>
  <c r="BM16" i="6" s="1"/>
  <c r="BS19" i="6"/>
  <c r="BK19" i="6"/>
  <c r="BF19" i="6"/>
  <c r="BF30" i="6"/>
  <c r="BS30" i="6"/>
  <c r="BK30" i="6"/>
  <c r="BA12" i="6"/>
  <c r="BB12" i="6" s="1"/>
  <c r="BH12" i="6" s="1"/>
  <c r="BI12" i="6" s="1"/>
  <c r="BE12" i="6"/>
  <c r="BT12" i="6" s="1"/>
  <c r="BS18" i="6"/>
  <c r="BK18" i="6"/>
  <c r="BF18" i="6"/>
  <c r="BC12" i="6"/>
  <c r="BA24" i="6"/>
  <c r="BB24" i="6" s="1"/>
  <c r="BH24" i="6" s="1"/>
  <c r="BI24" i="6" s="1"/>
  <c r="BE24" i="6"/>
  <c r="BT24" i="6" s="1"/>
  <c r="BJ24" i="6"/>
  <c r="BL24" i="6" s="1"/>
  <c r="BM24" i="6" s="1"/>
  <c r="AE34" i="2" s="1"/>
  <c r="BC24" i="6"/>
  <c r="BF29" i="6"/>
  <c r="BS29" i="6"/>
  <c r="BK29" i="6"/>
  <c r="BJ12" i="6"/>
  <c r="BL12" i="6" s="1"/>
  <c r="BM12" i="6" s="1"/>
  <c r="BF17" i="6"/>
  <c r="BS17" i="6"/>
  <c r="BK17" i="6"/>
  <c r="BA10" i="6"/>
  <c r="BB10" i="6" s="1"/>
  <c r="BH10" i="6" s="1"/>
  <c r="BI10" i="6" s="1"/>
  <c r="BE10" i="6"/>
  <c r="BT10" i="6" s="1"/>
  <c r="BJ20" i="6"/>
  <c r="BL20" i="6" s="1"/>
  <c r="BM20" i="6" s="1"/>
  <c r="AE30" i="2" s="1"/>
  <c r="BE20" i="6"/>
  <c r="BT20" i="6" s="1"/>
  <c r="BA20" i="6"/>
  <c r="BB20" i="6" s="1"/>
  <c r="BH20" i="6" s="1"/>
  <c r="BI20" i="6" s="1"/>
  <c r="BC20" i="6"/>
  <c r="BS22" i="6"/>
  <c r="BK22" i="6"/>
  <c r="BF22" i="6"/>
  <c r="BK31" i="6"/>
  <c r="BF31" i="6"/>
  <c r="BS31" i="6"/>
  <c r="BA28" i="6"/>
  <c r="BB28" i="6" s="1"/>
  <c r="BH28" i="6" s="1"/>
  <c r="BI28" i="6" s="1"/>
  <c r="BE28" i="6"/>
  <c r="BT28" i="6" s="1"/>
  <c r="BJ28" i="6"/>
  <c r="BL28" i="6" s="1"/>
  <c r="BM28" i="6" s="1"/>
  <c r="AE38" i="2" s="1"/>
  <c r="BC28" i="6"/>
  <c r="BF27" i="6"/>
  <c r="BS27" i="6"/>
  <c r="BK27" i="6"/>
  <c r="BS23" i="6"/>
  <c r="BF23" i="6"/>
  <c r="BK23" i="6"/>
  <c r="BJ8" i="6"/>
  <c r="BL8" i="6" s="1"/>
  <c r="BM8" i="6" s="1"/>
  <c r="BF25" i="6"/>
  <c r="BK25" i="6"/>
  <c r="BS25" i="6"/>
  <c r="BS21" i="6"/>
  <c r="BF21" i="6"/>
  <c r="BK21" i="6"/>
  <c r="BF15" i="6"/>
  <c r="BK15" i="6"/>
  <c r="BS15" i="6"/>
  <c r="BJ10" i="6"/>
  <c r="BL10" i="6" s="1"/>
  <c r="BM10" i="6" s="1"/>
  <c r="C8" i="11"/>
  <c r="E8" i="11" s="1"/>
  <c r="J8" i="11" s="1"/>
  <c r="C11" i="11"/>
  <c r="D11" i="11" s="1"/>
  <c r="C12" i="11"/>
  <c r="S12" i="11" s="1"/>
  <c r="BE7" i="6"/>
  <c r="BT7" i="6" s="1"/>
  <c r="BA7" i="6"/>
  <c r="BB7" i="6" s="1"/>
  <c r="BH7" i="6" s="1"/>
  <c r="BJ7" i="6"/>
  <c r="BL7" i="6" s="1"/>
  <c r="W23" i="11"/>
  <c r="AL23" i="11"/>
  <c r="T13" i="11"/>
  <c r="N17" i="11"/>
  <c r="C6" i="11"/>
  <c r="C7" i="11"/>
  <c r="AT7" i="6"/>
  <c r="BG7" i="6" s="1"/>
  <c r="BC7" i="6"/>
  <c r="BD7" i="6"/>
  <c r="BK2" i="6"/>
  <c r="BF14" i="6" l="1"/>
  <c r="BK14" i="6"/>
  <c r="BF7" i="6"/>
  <c r="BS26" i="6"/>
  <c r="BT26" i="6"/>
  <c r="BF13" i="6"/>
  <c r="BT13" i="6"/>
  <c r="BK9" i="6"/>
  <c r="BF9" i="6"/>
  <c r="BS9" i="6"/>
  <c r="BK26" i="6"/>
  <c r="BF26" i="6"/>
  <c r="U22" i="11"/>
  <c r="S22" i="11"/>
  <c r="E22" i="11"/>
  <c r="J22" i="11" s="1"/>
  <c r="E18" i="11"/>
  <c r="J18" i="11" s="1"/>
  <c r="BK13" i="6"/>
  <c r="BS13" i="6"/>
  <c r="K26" i="11"/>
  <c r="S26" i="11"/>
  <c r="U26" i="11"/>
  <c r="D26" i="11"/>
  <c r="L26" i="11"/>
  <c r="Z26" i="11"/>
  <c r="X26" i="11"/>
  <c r="AB26" i="11" s="1"/>
  <c r="M26" i="11"/>
  <c r="V26" i="11"/>
  <c r="N26" i="11"/>
  <c r="AL26" i="11"/>
  <c r="T26" i="11"/>
  <c r="Y26" i="11"/>
  <c r="AA26" i="11" s="1"/>
  <c r="W26" i="11"/>
  <c r="E24" i="11"/>
  <c r="J24" i="11" s="1"/>
  <c r="D24" i="11"/>
  <c r="D20" i="11"/>
  <c r="S20" i="11"/>
  <c r="S19" i="11"/>
  <c r="E19" i="11"/>
  <c r="J19" i="11" s="1"/>
  <c r="S18" i="11"/>
  <c r="D16" i="11"/>
  <c r="S16" i="11"/>
  <c r="BS12" i="6"/>
  <c r="BF12" i="6"/>
  <c r="BK12" i="6"/>
  <c r="BF8" i="6"/>
  <c r="BK8" i="6"/>
  <c r="BF10" i="6"/>
  <c r="BF28" i="6"/>
  <c r="BK28" i="6"/>
  <c r="BS28" i="6"/>
  <c r="BS10" i="6"/>
  <c r="BF16" i="6"/>
  <c r="BS16" i="6"/>
  <c r="BK16" i="6"/>
  <c r="BK10" i="6"/>
  <c r="BK24" i="6"/>
  <c r="BF24" i="6"/>
  <c r="BS24" i="6"/>
  <c r="BS20" i="6"/>
  <c r="BK20" i="6"/>
  <c r="BF20" i="6"/>
  <c r="BS8" i="6"/>
  <c r="E11" i="11"/>
  <c r="J11" i="11" s="1"/>
  <c r="V8" i="11"/>
  <c r="W8" i="11"/>
  <c r="S11" i="11"/>
  <c r="S8" i="11"/>
  <c r="D12" i="11"/>
  <c r="D8" i="11"/>
  <c r="BS7" i="6"/>
  <c r="T8" i="11"/>
  <c r="U8" i="11"/>
  <c r="E12" i="11"/>
  <c r="J12" i="11" s="1"/>
  <c r="AL8" i="11"/>
  <c r="BK7" i="6"/>
  <c r="BI7" i="6"/>
  <c r="AE24" i="2"/>
  <c r="BM7" i="6"/>
  <c r="E7" i="11"/>
  <c r="J7" i="11" s="1"/>
  <c r="D7" i="11"/>
  <c r="S7" i="11"/>
  <c r="D6" i="11"/>
  <c r="E6" i="11"/>
  <c r="J6" i="11" s="1"/>
  <c r="K23" i="11"/>
  <c r="X23" i="11"/>
  <c r="AB23" i="11" s="1"/>
  <c r="J23" i="11"/>
  <c r="V23" i="11"/>
  <c r="U23" i="11"/>
  <c r="N23" i="11"/>
  <c r="T23" i="11"/>
  <c r="L23" i="11"/>
  <c r="Y23" i="11"/>
  <c r="AA23" i="11" s="1"/>
  <c r="M23" i="11"/>
  <c r="Z23" i="11"/>
  <c r="AL17" i="11"/>
  <c r="U17" i="11"/>
  <c r="AL24" i="11"/>
  <c r="Y17" i="11"/>
  <c r="AA17" i="11" s="1"/>
  <c r="Z17" i="11"/>
  <c r="M17" i="11"/>
  <c r="K17" i="11"/>
  <c r="W17" i="11"/>
  <c r="J17" i="11"/>
  <c r="V17" i="11"/>
  <c r="L17" i="11"/>
  <c r="X17" i="11"/>
  <c r="AB17" i="11" s="1"/>
  <c r="T17" i="11"/>
  <c r="V13" i="11"/>
  <c r="W24" i="11"/>
  <c r="U24" i="11"/>
  <c r="M24" i="11"/>
  <c r="X13" i="11"/>
  <c r="AB13" i="11" s="1"/>
  <c r="V24" i="11"/>
  <c r="Z13" i="11"/>
  <c r="Z24" i="11"/>
  <c r="T24" i="11"/>
  <c r="K24" i="11"/>
  <c r="Y24" i="11"/>
  <c r="AA24" i="11" s="1"/>
  <c r="X24" i="11"/>
  <c r="AB24" i="11" s="1"/>
  <c r="L13" i="11"/>
  <c r="L24" i="11"/>
  <c r="N24" i="11"/>
  <c r="Y18" i="11"/>
  <c r="AA18" i="11" s="1"/>
  <c r="K18" i="11"/>
  <c r="V18" i="11"/>
  <c r="M18" i="11"/>
  <c r="N18" i="11"/>
  <c r="X18" i="11"/>
  <c r="AB18" i="11" s="1"/>
  <c r="AL18" i="11"/>
  <c r="L18" i="11"/>
  <c r="U18" i="11"/>
  <c r="W18" i="11"/>
  <c r="Z18" i="11"/>
  <c r="T18" i="11"/>
  <c r="L21" i="11"/>
  <c r="N21" i="11"/>
  <c r="AL21" i="11"/>
  <c r="Y21" i="11"/>
  <c r="AA21" i="11" s="1"/>
  <c r="K21" i="11"/>
  <c r="X21" i="11"/>
  <c r="AB21" i="11" s="1"/>
  <c r="V21" i="11"/>
  <c r="T21" i="11"/>
  <c r="Z21" i="11"/>
  <c r="U21" i="11"/>
  <c r="J21" i="11"/>
  <c r="W21" i="11"/>
  <c r="M21" i="11"/>
  <c r="AL11" i="11"/>
  <c r="Z11" i="11"/>
  <c r="U11" i="11"/>
  <c r="K11" i="11"/>
  <c r="W11" i="11"/>
  <c r="M11" i="11"/>
  <c r="Y11" i="11"/>
  <c r="AA11" i="11" s="1"/>
  <c r="V11" i="11"/>
  <c r="L11" i="11"/>
  <c r="T11" i="11"/>
  <c r="N11" i="11"/>
  <c r="X11" i="11"/>
  <c r="AB11" i="11" s="1"/>
  <c r="W19" i="11"/>
  <c r="N19" i="11"/>
  <c r="K19" i="11"/>
  <c r="Z19" i="11"/>
  <c r="Y19" i="11"/>
  <c r="AA19" i="11" s="1"/>
  <c r="AL19" i="11"/>
  <c r="U19" i="11"/>
  <c r="T19" i="11"/>
  <c r="V19" i="11"/>
  <c r="X19" i="11"/>
  <c r="AB19" i="11" s="1"/>
  <c r="M19" i="11"/>
  <c r="L19" i="11"/>
  <c r="T12" i="11"/>
  <c r="W12" i="11"/>
  <c r="U12" i="11"/>
  <c r="AL12" i="11"/>
  <c r="V12" i="11"/>
  <c r="L12" i="11"/>
  <c r="Z12" i="11"/>
  <c r="X12" i="11"/>
  <c r="AB12" i="11" s="1"/>
  <c r="M12" i="11"/>
  <c r="K12" i="11"/>
  <c r="N12" i="11"/>
  <c r="Y12" i="11"/>
  <c r="AA12" i="11" s="1"/>
  <c r="L22" i="11"/>
  <c r="J25" i="11"/>
  <c r="W25" i="11"/>
  <c r="K25" i="11"/>
  <c r="L25" i="11"/>
  <c r="N25" i="11"/>
  <c r="T25" i="11"/>
  <c r="X25" i="11"/>
  <c r="AB25" i="11" s="1"/>
  <c r="Y25" i="11"/>
  <c r="AA25" i="11" s="1"/>
  <c r="Z25" i="11"/>
  <c r="AL25" i="11"/>
  <c r="M25" i="11"/>
  <c r="V25" i="11"/>
  <c r="U25" i="11"/>
  <c r="Y13" i="11"/>
  <c r="AA13" i="11" s="1"/>
  <c r="N13" i="11"/>
  <c r="U13" i="11"/>
  <c r="X22" i="11"/>
  <c r="AB22" i="11" s="1"/>
  <c r="K22" i="11"/>
  <c r="Y22" i="11"/>
  <c r="AA22" i="11" s="1"/>
  <c r="J13" i="11"/>
  <c r="W13" i="11"/>
  <c r="M13" i="11"/>
  <c r="T22" i="11"/>
  <c r="N22" i="11"/>
  <c r="Z22" i="11"/>
  <c r="V22" i="11"/>
  <c r="AL22" i="11"/>
  <c r="AL15" i="11"/>
  <c r="M15" i="11"/>
  <c r="X15" i="11"/>
  <c r="AB15" i="11" s="1"/>
  <c r="V15" i="11"/>
  <c r="N15" i="11"/>
  <c r="L15" i="11"/>
  <c r="J15" i="11"/>
  <c r="U15" i="11"/>
  <c r="Y15" i="11"/>
  <c r="AA15" i="11" s="1"/>
  <c r="T15" i="11"/>
  <c r="K15" i="11"/>
  <c r="W15" i="11"/>
  <c r="Z15" i="11"/>
  <c r="AL13" i="11"/>
  <c r="K13" i="11"/>
  <c r="W22" i="11"/>
  <c r="M22" i="11"/>
  <c r="V6" i="11"/>
  <c r="AL6" i="11"/>
  <c r="W6" i="11"/>
  <c r="T7" i="11"/>
  <c r="W7" i="11"/>
  <c r="AL7" i="11"/>
  <c r="U7" i="11"/>
  <c r="V7" i="11"/>
  <c r="AE27" i="2"/>
  <c r="AE26" i="2"/>
  <c r="AE17" i="2" l="1"/>
  <c r="C14" i="11"/>
  <c r="W14" i="11" s="1"/>
  <c r="AE23" i="2"/>
  <c r="AE20" i="2"/>
  <c r="AE21" i="2"/>
  <c r="AE18" i="2"/>
  <c r="AE19" i="2"/>
  <c r="C9" i="11"/>
  <c r="X9" i="11" s="1"/>
  <c r="AB9" i="11" s="1"/>
  <c r="AE22" i="2"/>
  <c r="N20" i="11"/>
  <c r="V20" i="11"/>
  <c r="AL20" i="11"/>
  <c r="Z20" i="11"/>
  <c r="T20" i="11"/>
  <c r="L20" i="11"/>
  <c r="X20" i="11"/>
  <c r="AB20" i="11" s="1"/>
  <c r="Y20" i="11"/>
  <c r="AA20" i="11" s="1"/>
  <c r="U20" i="11"/>
  <c r="M20" i="11"/>
  <c r="W20" i="11"/>
  <c r="J20" i="11"/>
  <c r="K20" i="11"/>
  <c r="T16" i="11"/>
  <c r="J16" i="11"/>
  <c r="X16" i="11"/>
  <c r="AB16" i="11" s="1"/>
  <c r="M16" i="11"/>
  <c r="N16" i="11"/>
  <c r="Y16" i="11"/>
  <c r="AA16" i="11" s="1"/>
  <c r="K16" i="11"/>
  <c r="W16" i="11"/>
  <c r="Z16" i="11"/>
  <c r="U16" i="11"/>
  <c r="V16" i="11"/>
  <c r="AL16" i="11"/>
  <c r="L16" i="11"/>
  <c r="W10" i="11"/>
  <c r="U10" i="11"/>
  <c r="Y10" i="11"/>
  <c r="AA10" i="11" s="1"/>
  <c r="T10" i="11"/>
  <c r="X10" i="11"/>
  <c r="AB10" i="11" s="1"/>
  <c r="N10" i="11"/>
  <c r="V10" i="11"/>
  <c r="L10" i="11"/>
  <c r="M10" i="11"/>
  <c r="AL10" i="11"/>
  <c r="Z10" i="11"/>
  <c r="J10" i="11"/>
  <c r="K10" i="11"/>
  <c r="C3" i="11"/>
  <c r="BQ7" i="6"/>
  <c r="BR7" i="6" s="1"/>
  <c r="BU7" i="6" s="1"/>
  <c r="C67" i="9" l="1"/>
  <c r="C70" i="9"/>
  <c r="C76" i="9"/>
  <c r="C79" i="9"/>
  <c r="C82" i="9"/>
  <c r="C85" i="9"/>
  <c r="C88" i="9"/>
  <c r="C64" i="9"/>
  <c r="C73" i="9"/>
  <c r="C77" i="9"/>
  <c r="C86" i="9"/>
  <c r="C65" i="9"/>
  <c r="C68" i="9"/>
  <c r="C71" i="9"/>
  <c r="C74" i="9"/>
  <c r="C80" i="9"/>
  <c r="C83" i="9"/>
  <c r="C87" i="9"/>
  <c r="C66" i="9"/>
  <c r="C69" i="9"/>
  <c r="C72" i="9"/>
  <c r="C75" i="9"/>
  <c r="C78" i="9"/>
  <c r="C81" i="9"/>
  <c r="C84" i="9"/>
  <c r="T14" i="11"/>
  <c r="Y14" i="11"/>
  <c r="AA14" i="11" s="1"/>
  <c r="E14" i="11"/>
  <c r="J14" i="11" s="1"/>
  <c r="X14" i="11"/>
  <c r="AB14" i="11" s="1"/>
  <c r="D14" i="11"/>
  <c r="L14" i="11"/>
  <c r="C5" i="11"/>
  <c r="S5" i="11" s="1"/>
  <c r="K14" i="11"/>
  <c r="M14" i="11"/>
  <c r="U14" i="11"/>
  <c r="Z14" i="11"/>
  <c r="N14" i="11"/>
  <c r="V14" i="11"/>
  <c r="S14" i="11"/>
  <c r="AL14" i="11"/>
  <c r="U9" i="11"/>
  <c r="V9" i="11"/>
  <c r="C27" i="9"/>
  <c r="C57" i="9"/>
  <c r="C59" i="9"/>
  <c r="C35" i="9"/>
  <c r="C23" i="9"/>
  <c r="C39" i="9"/>
  <c r="C55" i="9"/>
  <c r="C30" i="9"/>
  <c r="C25" i="9"/>
  <c r="C29" i="9"/>
  <c r="C9" i="9"/>
  <c r="C33" i="9"/>
  <c r="C42" i="9"/>
  <c r="C7" i="9"/>
  <c r="C60" i="9"/>
  <c r="C28" i="9"/>
  <c r="C37" i="9"/>
  <c r="C38" i="9"/>
  <c r="C45" i="9"/>
  <c r="C41" i="9"/>
  <c r="C34" i="9"/>
  <c r="C12" i="9"/>
  <c r="C20" i="9"/>
  <c r="C61" i="9"/>
  <c r="C16" i="9"/>
  <c r="M9" i="11"/>
  <c r="C4" i="11"/>
  <c r="Z9" i="11"/>
  <c r="L9" i="11"/>
  <c r="N9" i="11"/>
  <c r="K9" i="11"/>
  <c r="Y9" i="11"/>
  <c r="AA9" i="11" s="1"/>
  <c r="S9" i="11"/>
  <c r="D9" i="11"/>
  <c r="E9" i="11"/>
  <c r="J9" i="11" s="1"/>
  <c r="T9" i="11"/>
  <c r="W9" i="11"/>
  <c r="AL9" i="11"/>
  <c r="E3" i="11"/>
  <c r="J3" i="11" s="1"/>
  <c r="D3" i="11"/>
  <c r="S3" i="11"/>
  <c r="W3" i="11"/>
  <c r="V3" i="11"/>
  <c r="U3" i="11"/>
  <c r="T3" i="11"/>
  <c r="AL3" i="11"/>
  <c r="J12" i="3"/>
  <c r="AA8" i="3"/>
  <c r="K20" i="3"/>
  <c r="AB7" i="3"/>
  <c r="T31" i="3"/>
  <c r="Y17" i="3"/>
  <c r="N8" i="3"/>
  <c r="J10" i="3"/>
  <c r="Y19" i="3"/>
  <c r="AD11" i="3"/>
  <c r="I8" i="3"/>
  <c r="L26" i="3"/>
  <c r="I31" i="3"/>
  <c r="AC33" i="3"/>
  <c r="S16" i="3"/>
  <c r="I19" i="3"/>
  <c r="AC15" i="3"/>
  <c r="V11" i="3"/>
  <c r="Z25" i="3"/>
  <c r="AC26" i="3"/>
  <c r="T34" i="3"/>
  <c r="Y8" i="3"/>
  <c r="J20" i="3"/>
  <c r="L15" i="3"/>
  <c r="I29" i="3"/>
  <c r="T9" i="3"/>
  <c r="V20" i="3"/>
  <c r="R27" i="3"/>
  <c r="L17" i="3"/>
  <c r="J15" i="3"/>
  <c r="AA25" i="3"/>
  <c r="AA32" i="3"/>
  <c r="T11" i="3"/>
  <c r="M32" i="3"/>
  <c r="I27" i="3"/>
  <c r="T19" i="3"/>
  <c r="U11" i="3"/>
  <c r="T7" i="3"/>
  <c r="J8" i="3"/>
  <c r="S7" i="3"/>
  <c r="S12" i="3"/>
  <c r="I15" i="3"/>
  <c r="K29" i="3"/>
  <c r="V31" i="3"/>
  <c r="Q11" i="3"/>
  <c r="S34" i="3"/>
  <c r="S27" i="3"/>
  <c r="K9" i="3"/>
  <c r="T14" i="3"/>
  <c r="R28" i="3"/>
  <c r="AD18" i="3"/>
  <c r="N25" i="3"/>
  <c r="K13" i="3"/>
  <c r="T13" i="3"/>
  <c r="S33" i="3"/>
  <c r="I20" i="3"/>
  <c r="V19" i="3"/>
  <c r="AB8" i="3"/>
  <c r="K19" i="3"/>
  <c r="K32" i="3"/>
  <c r="N29" i="3"/>
  <c r="Z12" i="3"/>
  <c r="M10" i="3"/>
  <c r="S28" i="3"/>
  <c r="M17" i="3"/>
  <c r="V26" i="3"/>
  <c r="L19" i="3"/>
  <c r="V12" i="3"/>
  <c r="Y14" i="3"/>
  <c r="N34" i="3"/>
  <c r="V32" i="3"/>
  <c r="AD17" i="3"/>
  <c r="AC31" i="3"/>
  <c r="Y27" i="3"/>
  <c r="S25" i="3"/>
  <c r="N26" i="3"/>
  <c r="AA20" i="3"/>
  <c r="I34" i="3"/>
  <c r="S10" i="3"/>
  <c r="AB9" i="3"/>
  <c r="Q20" i="3"/>
  <c r="AD33" i="3"/>
  <c r="U29" i="3"/>
  <c r="Q33" i="3"/>
  <c r="AC12" i="3"/>
  <c r="Y11" i="3"/>
  <c r="Z20" i="3"/>
  <c r="K14" i="3"/>
  <c r="U12" i="3"/>
  <c r="V7" i="3"/>
  <c r="J31" i="3"/>
  <c r="N10" i="3"/>
  <c r="Y32" i="3"/>
  <c r="L12" i="3"/>
  <c r="U15" i="3"/>
  <c r="M11" i="3"/>
  <c r="AB17" i="3"/>
  <c r="AB14" i="3"/>
  <c r="Z14" i="3"/>
  <c r="Z16" i="3"/>
  <c r="I32" i="3"/>
  <c r="Z13" i="3"/>
  <c r="Q13" i="3"/>
  <c r="AB33" i="3"/>
  <c r="AB34" i="3"/>
  <c r="Q12" i="3"/>
  <c r="Y10" i="3"/>
  <c r="V17" i="3"/>
  <c r="AB31" i="3"/>
  <c r="S20" i="3"/>
  <c r="AD10" i="3"/>
  <c r="L27" i="3"/>
  <c r="AC34" i="3"/>
  <c r="L29" i="3"/>
  <c r="AC9" i="3"/>
  <c r="L10" i="3"/>
  <c r="T30" i="3"/>
  <c r="L34" i="3"/>
  <c r="T33" i="3"/>
  <c r="N14" i="3"/>
  <c r="M28" i="3"/>
  <c r="I14" i="3"/>
  <c r="M13" i="3"/>
  <c r="N28" i="3"/>
  <c r="V25" i="3"/>
  <c r="T17" i="3"/>
  <c r="S17" i="3"/>
  <c r="AD29" i="3"/>
  <c r="AD30" i="3"/>
  <c r="Y26" i="3"/>
  <c r="AA26" i="3" s="1"/>
  <c r="N31" i="3"/>
  <c r="T27" i="3"/>
  <c r="U28" i="3"/>
  <c r="AD31" i="3"/>
  <c r="AA10" i="3"/>
  <c r="V13" i="3"/>
  <c r="J34" i="3"/>
  <c r="AA29" i="3"/>
  <c r="Q10" i="3"/>
  <c r="J27" i="3"/>
  <c r="M16" i="3"/>
  <c r="AC14" i="3"/>
  <c r="I28" i="3"/>
  <c r="U25" i="3"/>
  <c r="S18" i="3"/>
  <c r="Q17" i="3"/>
  <c r="L18" i="3"/>
  <c r="Y7" i="3"/>
  <c r="AC13" i="3"/>
  <c r="AA19" i="3"/>
  <c r="J16" i="3"/>
  <c r="K26" i="3"/>
  <c r="U8" i="3"/>
  <c r="AB25" i="3"/>
  <c r="V9" i="3"/>
  <c r="K34" i="3"/>
  <c r="U32" i="3"/>
  <c r="Q15" i="3"/>
  <c r="R29" i="3"/>
  <c r="M34" i="3"/>
  <c r="R7" i="3"/>
  <c r="M31" i="3"/>
  <c r="S29" i="3"/>
  <c r="U14" i="3"/>
  <c r="Z29" i="3"/>
  <c r="N33" i="3"/>
  <c r="U27" i="3"/>
  <c r="Q30" i="3"/>
  <c r="S30" i="3" s="1"/>
  <c r="AA9" i="3"/>
  <c r="L25" i="3"/>
  <c r="V16" i="3"/>
  <c r="AA12" i="3"/>
  <c r="N30" i="3"/>
  <c r="AC25" i="3"/>
  <c r="J11" i="3"/>
  <c r="AB27" i="3"/>
  <c r="AC30" i="3"/>
  <c r="L30" i="3"/>
  <c r="J18" i="3"/>
  <c r="T20" i="3"/>
  <c r="AD14" i="3"/>
  <c r="AB13" i="3"/>
  <c r="Y31" i="3"/>
  <c r="J33" i="3"/>
  <c r="K11" i="3"/>
  <c r="AC27" i="3"/>
  <c r="I7" i="3"/>
  <c r="T16" i="3"/>
  <c r="U16" i="3"/>
  <c r="Q14" i="3"/>
  <c r="S14" i="3" s="1"/>
  <c r="AB16" i="3"/>
  <c r="M18" i="3"/>
  <c r="Y25" i="3"/>
  <c r="Q25" i="3"/>
  <c r="R8" i="3"/>
  <c r="AB20" i="3"/>
  <c r="V33" i="3"/>
  <c r="AD7" i="3"/>
  <c r="S31" i="3"/>
  <c r="M12" i="3"/>
  <c r="U19" i="3"/>
  <c r="Y15" i="3"/>
  <c r="L31" i="3"/>
  <c r="Q28" i="3"/>
  <c r="AA13" i="3"/>
  <c r="AA18" i="3"/>
  <c r="T25" i="3"/>
  <c r="V14" i="3"/>
  <c r="Z17" i="3"/>
  <c r="Z30" i="3"/>
  <c r="U31" i="3"/>
  <c r="M7" i="3"/>
  <c r="AD9" i="3"/>
  <c r="J7" i="3"/>
  <c r="Q18" i="3"/>
  <c r="L16" i="3"/>
  <c r="K31" i="3"/>
  <c r="AB19" i="3"/>
  <c r="R10" i="3"/>
  <c r="R16" i="3"/>
  <c r="AD8" i="3"/>
  <c r="Z19" i="3"/>
  <c r="V10" i="3"/>
  <c r="K10" i="3"/>
  <c r="V18" i="3"/>
  <c r="AC17" i="3"/>
  <c r="V27" i="3"/>
  <c r="Y29" i="3"/>
  <c r="Z28" i="3"/>
  <c r="K7" i="3"/>
  <c r="R32" i="3"/>
  <c r="AD19" i="3"/>
  <c r="S13" i="3"/>
  <c r="AA31" i="3"/>
  <c r="L32" i="3"/>
  <c r="AB11" i="3"/>
  <c r="M15" i="3"/>
  <c r="Y12" i="3"/>
  <c r="AC28" i="3"/>
  <c r="U17" i="3"/>
  <c r="K16" i="3"/>
  <c r="AA7" i="3"/>
  <c r="Q31" i="3"/>
  <c r="V28" i="3"/>
  <c r="Z7" i="3"/>
  <c r="J25" i="3"/>
  <c r="U26" i="3"/>
  <c r="R33" i="3"/>
  <c r="J32" i="3"/>
  <c r="T15" i="3"/>
  <c r="T29" i="3"/>
  <c r="Y20" i="3"/>
  <c r="AD16" i="3"/>
  <c r="L9" i="3"/>
  <c r="K28" i="3"/>
  <c r="AB30" i="3"/>
  <c r="K8" i="3"/>
  <c r="Z33" i="3"/>
  <c r="I17" i="3"/>
  <c r="AC20" i="3"/>
  <c r="AB10" i="3"/>
  <c r="AA34" i="3"/>
  <c r="AD12" i="3"/>
  <c r="R13" i="3"/>
  <c r="AB29" i="3"/>
  <c r="K12" i="3"/>
  <c r="R15" i="3"/>
  <c r="K18" i="3"/>
  <c r="AD32" i="3"/>
  <c r="N7" i="3"/>
  <c r="AA28" i="3"/>
  <c r="J13" i="3"/>
  <c r="R11" i="3"/>
  <c r="S15" i="3"/>
  <c r="Y34" i="3"/>
  <c r="AC11" i="3"/>
  <c r="L33" i="3"/>
  <c r="Z18" i="3"/>
  <c r="U18" i="3"/>
  <c r="M33" i="3"/>
  <c r="K17" i="3"/>
  <c r="N13" i="3"/>
  <c r="AC19" i="3"/>
  <c r="R19" i="3"/>
  <c r="AD13" i="3"/>
  <c r="Z15" i="3"/>
  <c r="T8" i="3"/>
  <c r="K33" i="3"/>
  <c r="Q9" i="3"/>
  <c r="R9" i="3" s="1"/>
  <c r="K25" i="3"/>
  <c r="S8" i="3"/>
  <c r="Q32" i="3"/>
  <c r="T18" i="3"/>
  <c r="N18" i="3"/>
  <c r="Q16" i="3"/>
  <c r="J19" i="3"/>
  <c r="L14" i="3"/>
  <c r="N20" i="3"/>
  <c r="L8" i="3"/>
  <c r="Z34" i="3"/>
  <c r="Y16" i="3"/>
  <c r="Y33" i="3"/>
  <c r="R18" i="3"/>
  <c r="AC10" i="3"/>
  <c r="S32" i="3"/>
  <c r="N11" i="3"/>
  <c r="AD27" i="3"/>
  <c r="M8" i="3"/>
  <c r="AC16" i="3"/>
  <c r="V8" i="3"/>
  <c r="Q8" i="3"/>
  <c r="V29" i="3"/>
  <c r="AC32" i="3"/>
  <c r="Z9" i="3"/>
  <c r="I18" i="3"/>
  <c r="U10" i="3"/>
  <c r="M29" i="3"/>
  <c r="AA33" i="3"/>
  <c r="J29" i="3"/>
  <c r="M9" i="3"/>
  <c r="Y28" i="3"/>
  <c r="AB26" i="3"/>
  <c r="K30" i="3"/>
  <c r="I10" i="3"/>
  <c r="I13" i="3"/>
  <c r="M30" i="3"/>
  <c r="I33" i="3"/>
  <c r="K15" i="3"/>
  <c r="AA17" i="3"/>
  <c r="AC18" i="3"/>
  <c r="Q7" i="3"/>
  <c r="M19" i="3"/>
  <c r="Q26" i="3"/>
  <c r="S26" i="3" s="1"/>
  <c r="N16" i="3"/>
  <c r="T12" i="3"/>
  <c r="Z27" i="3"/>
  <c r="N9" i="3"/>
  <c r="Y9" i="3"/>
  <c r="R31" i="3"/>
  <c r="I11" i="3"/>
  <c r="AA11" i="3"/>
  <c r="N15" i="3"/>
  <c r="S11" i="3"/>
  <c r="J9" i="3"/>
  <c r="Z31" i="3"/>
  <c r="N27" i="3"/>
  <c r="U33" i="3"/>
  <c r="N19" i="3"/>
  <c r="L20" i="3"/>
  <c r="V30" i="3"/>
  <c r="J17" i="3"/>
  <c r="L28" i="3"/>
  <c r="N32" i="3"/>
  <c r="N17" i="3"/>
  <c r="Q34" i="3"/>
  <c r="Q27" i="3"/>
  <c r="V34" i="3"/>
  <c r="J26" i="3"/>
  <c r="Y30" i="3"/>
  <c r="V15" i="3"/>
  <c r="AB18" i="3"/>
  <c r="R25" i="3"/>
  <c r="U7" i="3"/>
  <c r="T32" i="3"/>
  <c r="AA16" i="3"/>
  <c r="I9" i="3"/>
  <c r="AB15" i="3"/>
  <c r="AC7" i="3"/>
  <c r="AB28" i="3"/>
  <c r="U13" i="3"/>
  <c r="M25" i="3"/>
  <c r="U34" i="3"/>
  <c r="I26" i="3"/>
  <c r="U30" i="3"/>
  <c r="S19" i="3"/>
  <c r="Q29" i="3"/>
  <c r="Y18" i="3"/>
  <c r="T10" i="3"/>
  <c r="R20" i="3"/>
  <c r="AD15" i="3"/>
  <c r="T26" i="3"/>
  <c r="Z8" i="3"/>
  <c r="M14" i="3"/>
  <c r="AD28" i="3"/>
  <c r="AE10" i="2"/>
  <c r="R17" i="3"/>
  <c r="AB32" i="3"/>
  <c r="J14" i="3"/>
  <c r="U20" i="3"/>
  <c r="Z10" i="3"/>
  <c r="AB12" i="3"/>
  <c r="AD34" i="3"/>
  <c r="K27" i="3"/>
  <c r="AC8" i="3"/>
  <c r="AA15" i="3"/>
  <c r="U9" i="3"/>
  <c r="AA30" i="3"/>
  <c r="N12" i="3"/>
  <c r="J30" i="3"/>
  <c r="AA27" i="3"/>
  <c r="AD20" i="3"/>
  <c r="M26" i="3"/>
  <c r="L13" i="3"/>
  <c r="Z32" i="3"/>
  <c r="Q19" i="3"/>
  <c r="L11" i="3"/>
  <c r="I25" i="3"/>
  <c r="R12" i="3"/>
  <c r="I30" i="3"/>
  <c r="Y13" i="3"/>
  <c r="I12" i="3"/>
  <c r="R34" i="3"/>
  <c r="L7" i="3"/>
  <c r="J28" i="3"/>
  <c r="I16" i="3"/>
  <c r="AA14" i="3"/>
  <c r="AC29" i="3"/>
  <c r="T28" i="3"/>
  <c r="Z11" i="3"/>
  <c r="AD25" i="3"/>
  <c r="M27" i="3"/>
  <c r="M20" i="3"/>
  <c r="AD26" i="3"/>
  <c r="Z26" i="3"/>
  <c r="H81" i="9" l="1"/>
  <c r="D81" i="9" s="1"/>
  <c r="I81" i="9"/>
  <c r="E81" i="9" s="1"/>
  <c r="J81" i="9"/>
  <c r="K81" i="9"/>
  <c r="H69" i="9"/>
  <c r="D69" i="9" s="1"/>
  <c r="K69" i="9"/>
  <c r="I69" i="9"/>
  <c r="E69" i="9" s="1"/>
  <c r="J69" i="9"/>
  <c r="F69" i="9" s="1"/>
  <c r="I80" i="9"/>
  <c r="E80" i="9" s="1"/>
  <c r="J80" i="9"/>
  <c r="F80" i="9" s="1"/>
  <c r="H80" i="9"/>
  <c r="D80" i="9" s="1"/>
  <c r="K80" i="9"/>
  <c r="I65" i="9"/>
  <c r="E65" i="9" s="1"/>
  <c r="J65" i="9"/>
  <c r="F65" i="9" s="1"/>
  <c r="H65" i="9"/>
  <c r="D65" i="9" s="1"/>
  <c r="K65" i="9"/>
  <c r="I64" i="9"/>
  <c r="E64" i="9" s="1"/>
  <c r="J64" i="9"/>
  <c r="F64" i="9" s="1"/>
  <c r="H64" i="9"/>
  <c r="D64" i="9" s="1"/>
  <c r="K64" i="9"/>
  <c r="I79" i="9"/>
  <c r="E79" i="9" s="1"/>
  <c r="H79" i="9"/>
  <c r="D79" i="9" s="1"/>
  <c r="K79" i="9"/>
  <c r="J79" i="9"/>
  <c r="F79" i="9" s="1"/>
  <c r="H78" i="9"/>
  <c r="D78" i="9" s="1"/>
  <c r="I78" i="9"/>
  <c r="E78" i="9" s="1"/>
  <c r="J78" i="9"/>
  <c r="F78" i="9" s="1"/>
  <c r="K78" i="9"/>
  <c r="H66" i="9"/>
  <c r="D66" i="9" s="1"/>
  <c r="I66" i="9"/>
  <c r="E66" i="9" s="1"/>
  <c r="K66" i="9"/>
  <c r="J66" i="9"/>
  <c r="F66" i="9" s="1"/>
  <c r="H74" i="9"/>
  <c r="D74" i="9" s="1"/>
  <c r="K74" i="9"/>
  <c r="I74" i="9"/>
  <c r="E74" i="9" s="1"/>
  <c r="J74" i="9"/>
  <c r="F74" i="9" s="1"/>
  <c r="H86" i="9"/>
  <c r="D86" i="9" s="1"/>
  <c r="J86" i="9"/>
  <c r="F86" i="9" s="1"/>
  <c r="I86" i="9"/>
  <c r="E86" i="9" s="1"/>
  <c r="K86" i="9"/>
  <c r="H88" i="9"/>
  <c r="D88" i="9" s="1"/>
  <c r="K88" i="9"/>
  <c r="J88" i="9"/>
  <c r="F88" i="9" s="1"/>
  <c r="I88" i="9"/>
  <c r="E88" i="9" s="1"/>
  <c r="H76" i="9"/>
  <c r="D76" i="9" s="1"/>
  <c r="J76" i="9"/>
  <c r="I76" i="9"/>
  <c r="E76" i="9" s="1"/>
  <c r="K76" i="9"/>
  <c r="I75" i="9"/>
  <c r="E75" i="9" s="1"/>
  <c r="H75" i="9"/>
  <c r="D75" i="9" s="1"/>
  <c r="J75" i="9"/>
  <c r="F75" i="9" s="1"/>
  <c r="K75" i="9"/>
  <c r="H87" i="9"/>
  <c r="D87" i="9" s="1"/>
  <c r="I87" i="9"/>
  <c r="E87" i="9" s="1"/>
  <c r="K87" i="9"/>
  <c r="J87" i="9"/>
  <c r="F87" i="9" s="1"/>
  <c r="H71" i="9"/>
  <c r="D71" i="9" s="1"/>
  <c r="K71" i="9"/>
  <c r="J71" i="9"/>
  <c r="F71" i="9" s="1"/>
  <c r="I71" i="9"/>
  <c r="E71" i="9" s="1"/>
  <c r="I77" i="9"/>
  <c r="E77" i="9" s="1"/>
  <c r="H77" i="9"/>
  <c r="D77" i="9" s="1"/>
  <c r="K77" i="9"/>
  <c r="J77" i="9"/>
  <c r="F77" i="9" s="1"/>
  <c r="I85" i="9"/>
  <c r="E85" i="9" s="1"/>
  <c r="J85" i="9"/>
  <c r="K85" i="9"/>
  <c r="H85" i="9"/>
  <c r="D85" i="9" s="1"/>
  <c r="I70" i="9"/>
  <c r="E70" i="9" s="1"/>
  <c r="H70" i="9"/>
  <c r="D70" i="9" s="1"/>
  <c r="K70" i="9"/>
  <c r="J70" i="9"/>
  <c r="F70" i="9" s="1"/>
  <c r="H84" i="9"/>
  <c r="D84" i="9" s="1"/>
  <c r="J84" i="9"/>
  <c r="F84" i="9" s="1"/>
  <c r="K84" i="9"/>
  <c r="I84" i="9"/>
  <c r="E84" i="9" s="1"/>
  <c r="I72" i="9"/>
  <c r="E72" i="9" s="1"/>
  <c r="H72" i="9"/>
  <c r="D72" i="9" s="1"/>
  <c r="J72" i="9"/>
  <c r="F72" i="9" s="1"/>
  <c r="K72" i="9"/>
  <c r="I83" i="9"/>
  <c r="E83" i="9" s="1"/>
  <c r="K83" i="9"/>
  <c r="J83" i="9"/>
  <c r="F83" i="9" s="1"/>
  <c r="H83" i="9"/>
  <c r="D83" i="9" s="1"/>
  <c r="I68" i="9"/>
  <c r="E68" i="9" s="1"/>
  <c r="J68" i="9"/>
  <c r="F68" i="9" s="1"/>
  <c r="K68" i="9"/>
  <c r="H68" i="9"/>
  <c r="D68" i="9" s="1"/>
  <c r="I73" i="9"/>
  <c r="E73" i="9" s="1"/>
  <c r="H73" i="9"/>
  <c r="D73" i="9" s="1"/>
  <c r="K73" i="9"/>
  <c r="J73" i="9"/>
  <c r="F73" i="9" s="1"/>
  <c r="I82" i="9"/>
  <c r="E82" i="9" s="1"/>
  <c r="H82" i="9"/>
  <c r="D82" i="9" s="1"/>
  <c r="K82" i="9"/>
  <c r="J82" i="9"/>
  <c r="F82" i="9" s="1"/>
  <c r="I67" i="9"/>
  <c r="E67" i="9" s="1"/>
  <c r="H67" i="9"/>
  <c r="D67" i="9" s="1"/>
  <c r="K67" i="9"/>
  <c r="J67" i="9"/>
  <c r="F67" i="9" s="1"/>
  <c r="C49" i="9"/>
  <c r="J49" i="9" s="1"/>
  <c r="F49" i="9" s="1"/>
  <c r="C52" i="9"/>
  <c r="J52" i="9" s="1"/>
  <c r="F52" i="9" s="1"/>
  <c r="C48" i="9"/>
  <c r="J48" i="9" s="1"/>
  <c r="F48" i="9" s="1"/>
  <c r="C62" i="9"/>
  <c r="J62" i="9" s="1"/>
  <c r="F62" i="9" s="1"/>
  <c r="C63" i="9"/>
  <c r="J63" i="9" s="1"/>
  <c r="C31" i="9"/>
  <c r="J31" i="9" s="1"/>
  <c r="F31" i="9" s="1"/>
  <c r="C11" i="9"/>
  <c r="J11" i="9" s="1"/>
  <c r="C17" i="9"/>
  <c r="J17" i="9" s="1"/>
  <c r="C54" i="9"/>
  <c r="J54" i="9" s="1"/>
  <c r="F54" i="9" s="1"/>
  <c r="C18" i="9"/>
  <c r="J18" i="9" s="1"/>
  <c r="F18" i="9" s="1"/>
  <c r="C10" i="9"/>
  <c r="J10" i="9" s="1"/>
  <c r="F10" i="9" s="1"/>
  <c r="C26" i="9"/>
  <c r="J26" i="9" s="1"/>
  <c r="C13" i="9"/>
  <c r="J13" i="9" s="1"/>
  <c r="F13" i="9" s="1"/>
  <c r="C50" i="9"/>
  <c r="J50" i="9" s="1"/>
  <c r="F50" i="9" s="1"/>
  <c r="C32" i="9"/>
  <c r="C53" i="9"/>
  <c r="J53" i="9" s="1"/>
  <c r="F53" i="9" s="1"/>
  <c r="C46" i="9"/>
  <c r="J46" i="9" s="1"/>
  <c r="F46" i="9" s="1"/>
  <c r="C19" i="9"/>
  <c r="J19" i="9" s="1"/>
  <c r="F19" i="9" s="1"/>
  <c r="C47" i="9"/>
  <c r="J47" i="9" s="1"/>
  <c r="F47" i="9" s="1"/>
  <c r="C8" i="9"/>
  <c r="J8" i="9" s="1"/>
  <c r="C40" i="9"/>
  <c r="J40" i="9" s="1"/>
  <c r="C22" i="9"/>
  <c r="J22" i="9" s="1"/>
  <c r="F22" i="9" s="1"/>
  <c r="C36" i="9"/>
  <c r="J36" i="9" s="1"/>
  <c r="F36" i="9" s="1"/>
  <c r="C24" i="9"/>
  <c r="J24" i="9" s="1"/>
  <c r="F24" i="9" s="1"/>
  <c r="C44" i="9"/>
  <c r="J44" i="9" s="1"/>
  <c r="C21" i="9"/>
  <c r="J21" i="9" s="1"/>
  <c r="F21" i="9" s="1"/>
  <c r="C58" i="9"/>
  <c r="J58" i="9" s="1"/>
  <c r="C56" i="9"/>
  <c r="J56" i="9" s="1"/>
  <c r="C14" i="9"/>
  <c r="J14" i="9" s="1"/>
  <c r="F14" i="9" s="1"/>
  <c r="C6" i="9"/>
  <c r="C51" i="9"/>
  <c r="J51" i="9" s="1"/>
  <c r="F51" i="9" s="1"/>
  <c r="C15" i="9"/>
  <c r="J15" i="9" s="1"/>
  <c r="F15" i="9" s="1"/>
  <c r="C43" i="9"/>
  <c r="J43" i="9" s="1"/>
  <c r="E5" i="11"/>
  <c r="J5" i="11" s="1"/>
  <c r="D5" i="11"/>
  <c r="S4" i="11"/>
  <c r="E4" i="11"/>
  <c r="J4" i="11" s="1"/>
  <c r="D4" i="11"/>
  <c r="W4" i="11"/>
  <c r="C2" i="11"/>
  <c r="R14" i="3"/>
  <c r="V5" i="11"/>
  <c r="T5" i="11"/>
  <c r="AL5" i="11"/>
  <c r="U5" i="11"/>
  <c r="W5" i="11"/>
  <c r="R30" i="3"/>
  <c r="J27" i="9"/>
  <c r="F27" i="9" s="1"/>
  <c r="J9" i="9"/>
  <c r="F9" i="9" s="1"/>
  <c r="J38" i="9"/>
  <c r="F38" i="9" s="1"/>
  <c r="J30" i="9"/>
  <c r="F30" i="9" s="1"/>
  <c r="J42" i="9"/>
  <c r="J16" i="9"/>
  <c r="F16" i="9" s="1"/>
  <c r="J55" i="9"/>
  <c r="F55" i="9" s="1"/>
  <c r="J33" i="9"/>
  <c r="F33" i="9" s="1"/>
  <c r="J12" i="9"/>
  <c r="F12" i="9" s="1"/>
  <c r="J61" i="9"/>
  <c r="J35" i="9"/>
  <c r="F35" i="9" s="1"/>
  <c r="J25" i="9"/>
  <c r="F25" i="9" s="1"/>
  <c r="J39" i="9"/>
  <c r="F39" i="9" s="1"/>
  <c r="J23" i="9"/>
  <c r="F23" i="9" s="1"/>
  <c r="J28" i="9"/>
  <c r="F28" i="9" s="1"/>
  <c r="J59" i="9"/>
  <c r="J37" i="9"/>
  <c r="F37" i="9" s="1"/>
  <c r="J57" i="9"/>
  <c r="J29" i="9"/>
  <c r="F29" i="9" s="1"/>
  <c r="J41" i="9"/>
  <c r="J34" i="9"/>
  <c r="F34" i="9" s="1"/>
  <c r="J20" i="9"/>
  <c r="J45" i="9"/>
  <c r="F45" i="9" s="1"/>
  <c r="J60" i="9"/>
  <c r="F60" i="9" s="1"/>
  <c r="S9" i="3"/>
  <c r="V36" i="3"/>
  <c r="Q36" i="3"/>
  <c r="U4" i="11"/>
  <c r="T4" i="11"/>
  <c r="AL4" i="11"/>
  <c r="V4" i="11"/>
  <c r="R26" i="3"/>
  <c r="N36" i="3"/>
  <c r="T36" i="3"/>
  <c r="AC36" i="3"/>
  <c r="U36" i="3"/>
  <c r="AB36" i="3"/>
  <c r="Y36" i="3"/>
  <c r="I36" i="3"/>
  <c r="L36" i="3"/>
  <c r="AD36" i="3"/>
  <c r="M36" i="3"/>
  <c r="J6" i="9" l="1"/>
  <c r="C95" i="9"/>
  <c r="F76" i="9"/>
  <c r="F81" i="9"/>
  <c r="F85" i="9"/>
  <c r="I47" i="9"/>
  <c r="E47" i="9" s="1"/>
  <c r="H47" i="9"/>
  <c r="D47" i="9" s="1"/>
  <c r="K47" i="9"/>
  <c r="E2" i="11"/>
  <c r="J2" i="11" s="1"/>
  <c r="D2" i="11"/>
  <c r="S2" i="11"/>
  <c r="H32" i="9"/>
  <c r="D32" i="9" s="1"/>
  <c r="J32" i="9"/>
  <c r="H7" i="9"/>
  <c r="D7" i="9" s="1"/>
  <c r="J7" i="9"/>
  <c r="F7" i="9" s="1"/>
  <c r="K7" i="9"/>
  <c r="I32" i="9"/>
  <c r="E32" i="9" s="1"/>
  <c r="K32" i="9"/>
  <c r="I7" i="9"/>
  <c r="E7" i="9" s="1"/>
  <c r="H44" i="9"/>
  <c r="D44" i="9" s="1"/>
  <c r="F44" i="9" s="1"/>
  <c r="I44" i="9"/>
  <c r="E44" i="9" s="1"/>
  <c r="K44" i="9"/>
  <c r="H49" i="9"/>
  <c r="D49" i="9" s="1"/>
  <c r="I49" i="9"/>
  <c r="E49" i="9" s="1"/>
  <c r="K49" i="9"/>
  <c r="H45" i="9"/>
  <c r="D45" i="9" s="1"/>
  <c r="I45" i="9"/>
  <c r="E45" i="9" s="1"/>
  <c r="K45" i="9"/>
  <c r="H57" i="9"/>
  <c r="D57" i="9" s="1"/>
  <c r="F57" i="9" s="1"/>
  <c r="I57" i="9"/>
  <c r="E57" i="9" s="1"/>
  <c r="K57" i="9"/>
  <c r="K11" i="9"/>
  <c r="H11" i="9"/>
  <c r="D11" i="9" s="1"/>
  <c r="F11" i="9" s="1"/>
  <c r="I11" i="9"/>
  <c r="E11" i="9" s="1"/>
  <c r="K23" i="9"/>
  <c r="H23" i="9"/>
  <c r="D23" i="9" s="1"/>
  <c r="I23" i="9"/>
  <c r="E23" i="9" s="1"/>
  <c r="H61" i="9"/>
  <c r="D61" i="9" s="1"/>
  <c r="F61" i="9" s="1"/>
  <c r="I61" i="9"/>
  <c r="E61" i="9" s="1"/>
  <c r="K61" i="9"/>
  <c r="H40" i="9"/>
  <c r="D40" i="9" s="1"/>
  <c r="F40" i="9" s="1"/>
  <c r="I40" i="9"/>
  <c r="E40" i="9" s="1"/>
  <c r="K40" i="9"/>
  <c r="K55" i="9"/>
  <c r="H55" i="9"/>
  <c r="D55" i="9" s="1"/>
  <c r="I55" i="9"/>
  <c r="E55" i="9" s="1"/>
  <c r="K42" i="9"/>
  <c r="H42" i="9"/>
  <c r="D42" i="9" s="1"/>
  <c r="F42" i="9" s="1"/>
  <c r="I42" i="9"/>
  <c r="E42" i="9" s="1"/>
  <c r="H8" i="9"/>
  <c r="D8" i="9" s="1"/>
  <c r="F8" i="9" s="1"/>
  <c r="I8" i="9"/>
  <c r="E8" i="9" s="1"/>
  <c r="K8" i="9"/>
  <c r="K50" i="9"/>
  <c r="H50" i="9"/>
  <c r="D50" i="9" s="1"/>
  <c r="I50" i="9"/>
  <c r="E50" i="9" s="1"/>
  <c r="K15" i="9"/>
  <c r="H15" i="9"/>
  <c r="D15" i="9" s="1"/>
  <c r="I15" i="9"/>
  <c r="E15" i="9" s="1"/>
  <c r="H48" i="9"/>
  <c r="D48" i="9" s="1"/>
  <c r="I48" i="9"/>
  <c r="E48" i="9" s="1"/>
  <c r="K48" i="9"/>
  <c r="H29" i="9"/>
  <c r="D29" i="9" s="1"/>
  <c r="I29" i="9"/>
  <c r="E29" i="9" s="1"/>
  <c r="K29" i="9"/>
  <c r="H28" i="9"/>
  <c r="D28" i="9" s="1"/>
  <c r="I28" i="9"/>
  <c r="E28" i="9" s="1"/>
  <c r="K28" i="9"/>
  <c r="K43" i="9"/>
  <c r="H43" i="9"/>
  <c r="D43" i="9" s="1"/>
  <c r="F43" i="9" s="1"/>
  <c r="I43" i="9"/>
  <c r="E43" i="9" s="1"/>
  <c r="K6" i="9"/>
  <c r="H6" i="9"/>
  <c r="D6" i="9" s="1"/>
  <c r="I6" i="9"/>
  <c r="K19" i="9"/>
  <c r="H19" i="9"/>
  <c r="D19" i="9" s="1"/>
  <c r="I19" i="9"/>
  <c r="E19" i="9" s="1"/>
  <c r="K31" i="9"/>
  <c r="H31" i="9"/>
  <c r="D31" i="9" s="1"/>
  <c r="I31" i="9"/>
  <c r="E31" i="9" s="1"/>
  <c r="K46" i="9"/>
  <c r="H46" i="9"/>
  <c r="D46" i="9" s="1"/>
  <c r="I46" i="9"/>
  <c r="E46" i="9" s="1"/>
  <c r="H60" i="9"/>
  <c r="D60" i="9" s="1"/>
  <c r="I60" i="9"/>
  <c r="E60" i="9" s="1"/>
  <c r="K60" i="9"/>
  <c r="H20" i="9"/>
  <c r="D20" i="9" s="1"/>
  <c r="F20" i="9" s="1"/>
  <c r="I20" i="9"/>
  <c r="E20" i="9" s="1"/>
  <c r="K20" i="9"/>
  <c r="H17" i="9"/>
  <c r="D17" i="9" s="1"/>
  <c r="F17" i="9" s="1"/>
  <c r="I17" i="9"/>
  <c r="E17" i="9" s="1"/>
  <c r="K17" i="9"/>
  <c r="K58" i="9"/>
  <c r="H58" i="9"/>
  <c r="D58" i="9" s="1"/>
  <c r="F58" i="9" s="1"/>
  <c r="I58" i="9"/>
  <c r="E58" i="9" s="1"/>
  <c r="H36" i="9"/>
  <c r="D36" i="9" s="1"/>
  <c r="I36" i="9"/>
  <c r="E36" i="9" s="1"/>
  <c r="K36" i="9"/>
  <c r="K59" i="9"/>
  <c r="H59" i="9"/>
  <c r="D59" i="9" s="1"/>
  <c r="F59" i="9" s="1"/>
  <c r="I59" i="9"/>
  <c r="E59" i="9" s="1"/>
  <c r="K39" i="9"/>
  <c r="H39" i="9"/>
  <c r="D39" i="9" s="1"/>
  <c r="I39" i="9"/>
  <c r="E39" i="9" s="1"/>
  <c r="H12" i="9"/>
  <c r="D12" i="9" s="1"/>
  <c r="I12" i="9"/>
  <c r="E12" i="9" s="1"/>
  <c r="K12" i="9"/>
  <c r="K63" i="9"/>
  <c r="H63" i="9"/>
  <c r="D63" i="9" s="1"/>
  <c r="F63" i="9" s="1"/>
  <c r="I63" i="9"/>
  <c r="E63" i="9" s="1"/>
  <c r="K14" i="9"/>
  <c r="H14" i="9"/>
  <c r="D14" i="9" s="1"/>
  <c r="I14" i="9"/>
  <c r="E14" i="9" s="1"/>
  <c r="H16" i="9"/>
  <c r="D16" i="9" s="1"/>
  <c r="I16" i="9"/>
  <c r="E16" i="9" s="1"/>
  <c r="K16" i="9"/>
  <c r="K26" i="9"/>
  <c r="H26" i="9"/>
  <c r="D26" i="9" s="1"/>
  <c r="F26" i="9" s="1"/>
  <c r="I26" i="9"/>
  <c r="E26" i="9" s="1"/>
  <c r="H56" i="9"/>
  <c r="D56" i="9" s="1"/>
  <c r="F56" i="9" s="1"/>
  <c r="I56" i="9"/>
  <c r="E56" i="9" s="1"/>
  <c r="K56" i="9"/>
  <c r="K27" i="9"/>
  <c r="H27" i="9"/>
  <c r="D27" i="9" s="1"/>
  <c r="I27" i="9"/>
  <c r="E27" i="9" s="1"/>
  <c r="H37" i="9"/>
  <c r="D37" i="9" s="1"/>
  <c r="I37" i="9"/>
  <c r="E37" i="9" s="1"/>
  <c r="K37" i="9"/>
  <c r="K35" i="9"/>
  <c r="H35" i="9"/>
  <c r="D35" i="9" s="1"/>
  <c r="I35" i="9"/>
  <c r="E35" i="9" s="1"/>
  <c r="H33" i="9"/>
  <c r="D33" i="9" s="1"/>
  <c r="I33" i="9"/>
  <c r="E33" i="9" s="1"/>
  <c r="K33" i="9"/>
  <c r="K54" i="9"/>
  <c r="H54" i="9"/>
  <c r="D54" i="9" s="1"/>
  <c r="I54" i="9"/>
  <c r="E54" i="9" s="1"/>
  <c r="H9" i="9"/>
  <c r="D9" i="9" s="1"/>
  <c r="I9" i="9"/>
  <c r="E9" i="9" s="1"/>
  <c r="K9" i="9"/>
  <c r="K10" i="9"/>
  <c r="H10" i="9"/>
  <c r="D10" i="9" s="1"/>
  <c r="I10" i="9"/>
  <c r="E10" i="9" s="1"/>
  <c r="H53" i="9"/>
  <c r="D53" i="9" s="1"/>
  <c r="I53" i="9"/>
  <c r="E53" i="9" s="1"/>
  <c r="K53" i="9"/>
  <c r="H52" i="9"/>
  <c r="D52" i="9" s="1"/>
  <c r="I52" i="9"/>
  <c r="E52" i="9" s="1"/>
  <c r="K52" i="9"/>
  <c r="K34" i="9"/>
  <c r="H34" i="9"/>
  <c r="D34" i="9" s="1"/>
  <c r="I34" i="9"/>
  <c r="E34" i="9" s="1"/>
  <c r="K18" i="9"/>
  <c r="H18" i="9"/>
  <c r="D18" i="9" s="1"/>
  <c r="I18" i="9"/>
  <c r="E18" i="9" s="1"/>
  <c r="H41" i="9"/>
  <c r="D41" i="9" s="1"/>
  <c r="F41" i="9" s="1"/>
  <c r="I41" i="9"/>
  <c r="E41" i="9" s="1"/>
  <c r="K41" i="9"/>
  <c r="K51" i="9"/>
  <c r="H51" i="9"/>
  <c r="D51" i="9" s="1"/>
  <c r="I51" i="9"/>
  <c r="E51" i="9" s="1"/>
  <c r="H25" i="9"/>
  <c r="D25" i="9" s="1"/>
  <c r="I25" i="9"/>
  <c r="E25" i="9" s="1"/>
  <c r="K25" i="9"/>
  <c r="K22" i="9"/>
  <c r="H22" i="9"/>
  <c r="D22" i="9" s="1"/>
  <c r="I22" i="9"/>
  <c r="E22" i="9" s="1"/>
  <c r="K62" i="9"/>
  <c r="H62" i="9"/>
  <c r="D62" i="9" s="1"/>
  <c r="I62" i="9"/>
  <c r="E62" i="9" s="1"/>
  <c r="H13" i="9"/>
  <c r="D13" i="9" s="1"/>
  <c r="I13" i="9"/>
  <c r="E13" i="9" s="1"/>
  <c r="K13" i="9"/>
  <c r="H21" i="9"/>
  <c r="D21" i="9" s="1"/>
  <c r="I21" i="9"/>
  <c r="E21" i="9" s="1"/>
  <c r="K21" i="9"/>
  <c r="K30" i="9"/>
  <c r="H30" i="9"/>
  <c r="D30" i="9" s="1"/>
  <c r="I30" i="9"/>
  <c r="E30" i="9" s="1"/>
  <c r="K38" i="9"/>
  <c r="H38" i="9"/>
  <c r="D38" i="9" s="1"/>
  <c r="I38" i="9"/>
  <c r="E38" i="9" s="1"/>
  <c r="H24" i="9"/>
  <c r="D24" i="9" s="1"/>
  <c r="I24" i="9"/>
  <c r="E24" i="9" s="1"/>
  <c r="K24" i="9"/>
  <c r="T2" i="11"/>
  <c r="U2" i="11"/>
  <c r="V2" i="11"/>
  <c r="AL2" i="11"/>
  <c r="W2" i="11"/>
  <c r="H95" i="9" l="1"/>
  <c r="D95" i="9" s="1"/>
  <c r="F6" i="9"/>
  <c r="I95" i="9"/>
  <c r="E95" i="9" s="1"/>
  <c r="J95" i="9"/>
  <c r="F95" i="9" s="1"/>
  <c r="AE7" i="2"/>
  <c r="K95" i="9"/>
  <c r="F32" i="9"/>
  <c r="E6" i="9"/>
  <c r="AE9" i="2" l="1"/>
  <c r="AE8" i="2"/>
  <c r="AK39" i="20" l="1"/>
  <c r="AL39" i="20" s="1"/>
  <c r="AK29" i="20"/>
  <c r="AL29" i="20" s="1"/>
  <c r="AK37" i="20"/>
  <c r="AL37" i="20" s="1"/>
  <c r="AK30" i="20"/>
  <c r="AL30" i="20" s="1"/>
  <c r="AK38" i="20"/>
  <c r="AL38" i="20" s="1"/>
  <c r="AK31" i="20"/>
  <c r="AL31" i="20" s="1"/>
  <c r="AK23" i="20" l="1"/>
  <c r="AL23" i="20" s="1"/>
  <c r="AK28" i="20" l="1"/>
  <c r="AL28" i="20" s="1"/>
  <c r="AK36" i="20"/>
  <c r="AL36" i="20" s="1"/>
  <c r="I40" i="6"/>
  <c r="AO40" i="6" l="1"/>
  <c r="AI40" i="6"/>
  <c r="AJ40" i="6"/>
  <c r="Q40" i="6"/>
  <c r="U40" i="6" s="1"/>
  <c r="AL40" i="6"/>
  <c r="Z20" i="20"/>
  <c r="S40" i="6"/>
  <c r="W40" i="6" s="1"/>
  <c r="BX40" i="6"/>
  <c r="D20" i="20"/>
  <c r="AK40" i="6"/>
  <c r="R40" i="6"/>
  <c r="V40" i="6" s="1"/>
  <c r="P40" i="6"/>
  <c r="T40" i="6" s="1"/>
  <c r="AM40" i="6"/>
  <c r="AX40" i="6" l="1"/>
  <c r="BA40" i="6" s="1"/>
  <c r="AF40" i="6"/>
  <c r="BS40" i="6" s="1"/>
  <c r="AN40" i="6"/>
  <c r="BG40" i="6" l="1"/>
  <c r="BH40" i="6"/>
  <c r="BD40" i="6"/>
  <c r="BE40" i="6" s="1"/>
  <c r="BO40" i="6" s="1"/>
  <c r="BF40" i="6"/>
  <c r="BC40" i="6"/>
  <c r="BB40" i="6"/>
  <c r="AH20" i="20"/>
  <c r="AM20" i="20" s="1"/>
  <c r="BY40" i="6"/>
  <c r="CB40" i="6" s="1"/>
  <c r="H100" i="9" s="1" a="1"/>
  <c r="H100" i="9" s="1"/>
  <c r="BM40" i="6" l="1"/>
  <c r="CA40" i="6" s="1"/>
  <c r="BR40" i="6"/>
  <c r="BI40" i="6"/>
  <c r="BJ40" i="6" s="1"/>
  <c r="BP40" i="6" s="1"/>
  <c r="BQ40" i="6" s="1"/>
  <c r="BL40" i="6"/>
  <c r="BK40" i="6"/>
  <c r="BT40" i="6"/>
  <c r="AI20" i="20" s="1"/>
  <c r="AI13" i="20" s="1"/>
  <c r="BU40" i="6"/>
  <c r="AE11" i="2" l="1"/>
  <c r="AG11" i="2" s="1"/>
  <c r="AF17" i="2" s="1"/>
  <c r="AF40" i="2"/>
  <c r="AG40" i="2" s="1"/>
  <c r="AF41" i="2"/>
  <c r="AF38" i="2"/>
  <c r="AG38" i="2" s="1"/>
  <c r="AF39" i="2"/>
  <c r="AF36" i="2"/>
  <c r="AG36" i="2" s="1"/>
  <c r="AF37" i="2"/>
  <c r="AF34" i="2"/>
  <c r="AG34" i="2" s="1"/>
  <c r="AF35" i="2"/>
  <c r="AF32" i="2"/>
  <c r="AG32" i="2" s="1"/>
  <c r="AF33" i="2"/>
  <c r="AF30" i="2"/>
  <c r="AG30" i="2" s="1"/>
  <c r="AF31" i="2"/>
  <c r="AF25" i="2"/>
  <c r="AG25" i="2" s="1"/>
  <c r="AF28" i="2"/>
  <c r="BN40" i="6"/>
  <c r="BZ40" i="6"/>
  <c r="AF27" i="2"/>
  <c r="AG27" i="2" s="1"/>
  <c r="AF29" i="2"/>
  <c r="AJ20" i="20"/>
  <c r="AF26" i="2"/>
  <c r="C96" i="9"/>
  <c r="AF24" i="2" l="1"/>
  <c r="AG24" i="2" s="1"/>
  <c r="AF23" i="2"/>
  <c r="AM8" i="11" s="1"/>
  <c r="AN8" i="11" s="1"/>
  <c r="AF22" i="2"/>
  <c r="AG22" i="2" s="1"/>
  <c r="AF20" i="2"/>
  <c r="AG20" i="2" s="1"/>
  <c r="AF21" i="2"/>
  <c r="AG21" i="2" s="1"/>
  <c r="AF19" i="2"/>
  <c r="AG19" i="2" s="1"/>
  <c r="AF18" i="2"/>
  <c r="AM3" i="11" s="1"/>
  <c r="AN3" i="11" s="1"/>
  <c r="K100" i="9"/>
  <c r="I100" i="9" s="1"/>
  <c r="J100" i="9"/>
  <c r="AM25" i="11"/>
  <c r="AN25" i="11" s="1"/>
  <c r="AG41" i="2"/>
  <c r="AM26" i="11"/>
  <c r="AN26" i="11" s="1"/>
  <c r="AM23" i="11"/>
  <c r="AN23" i="11" s="1"/>
  <c r="AG39" i="2"/>
  <c r="AM24" i="11"/>
  <c r="AN24" i="11" s="1"/>
  <c r="AM21" i="11"/>
  <c r="AN21" i="11" s="1"/>
  <c r="AG37" i="2"/>
  <c r="AM22" i="11"/>
  <c r="AN22" i="11" s="1"/>
  <c r="AM19" i="11"/>
  <c r="AN19" i="11" s="1"/>
  <c r="AG35" i="2"/>
  <c r="AM20" i="11"/>
  <c r="AN20" i="11" s="1"/>
  <c r="AM17" i="11"/>
  <c r="AN17" i="11" s="1"/>
  <c r="AG33" i="2"/>
  <c r="AM18" i="11"/>
  <c r="AN18" i="11" s="1"/>
  <c r="AM15" i="11"/>
  <c r="AN15" i="11" s="1"/>
  <c r="AG31" i="2"/>
  <c r="AM16" i="11"/>
  <c r="AN16" i="11" s="1"/>
  <c r="AM12" i="11"/>
  <c r="AN12" i="11" s="1"/>
  <c r="AM10" i="11"/>
  <c r="AN10" i="11" s="1"/>
  <c r="AG28" i="2"/>
  <c r="AM13" i="11"/>
  <c r="AN13" i="11" s="1"/>
  <c r="H96" i="9"/>
  <c r="K96" i="9"/>
  <c r="AI14" i="20" s="1"/>
  <c r="AL12" i="20" s="1"/>
  <c r="I96" i="9"/>
  <c r="E96" i="9" s="1"/>
  <c r="J96" i="9"/>
  <c r="AI12" i="20" s="1"/>
  <c r="AG29" i="2"/>
  <c r="AM14" i="11"/>
  <c r="AN14" i="11" s="1"/>
  <c r="AG26" i="2"/>
  <c r="AM11" i="11"/>
  <c r="AN11" i="11" s="1"/>
  <c r="AG17" i="2"/>
  <c r="AM2" i="11"/>
  <c r="AN2" i="11" s="1"/>
  <c r="AM9" i="11" l="1"/>
  <c r="AN9" i="11" s="1"/>
  <c r="AG23" i="2"/>
  <c r="AM7" i="11"/>
  <c r="AN7" i="11" s="1"/>
  <c r="AM6" i="11"/>
  <c r="AN6" i="11" s="1"/>
  <c r="AM5" i="11"/>
  <c r="AN5" i="11" s="1"/>
  <c r="AM4" i="11"/>
  <c r="AN4" i="11" s="1"/>
  <c r="AG18" i="2"/>
  <c r="D96" i="9"/>
  <c r="AI10" i="20"/>
  <c r="AK43" i="20"/>
  <c r="AL43" i="20" s="1"/>
  <c r="AK44" i="20"/>
  <c r="AL44" i="20" s="1"/>
  <c r="AK22" i="20"/>
  <c r="AL22" i="20" s="1"/>
  <c r="AK42" i="20"/>
  <c r="AL42" i="20" s="1"/>
  <c r="AK20" i="20"/>
  <c r="AL20" i="20" s="1"/>
  <c r="AK21" i="20"/>
  <c r="AL21" i="20" s="1"/>
  <c r="AI11" i="20"/>
  <c r="F9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F65" authorId="0" shapeId="0" xr:uid="{4F12CB46-0795-4FF8-9354-22A5F9FDFB8F}">
      <text>
        <r>
          <rPr>
            <b/>
            <sz val="9"/>
            <color indexed="81"/>
            <rFont val="Tahoma"/>
            <family val="2"/>
          </rPr>
          <t>Rush, Meaghan:</t>
        </r>
        <r>
          <rPr>
            <sz val="9"/>
            <color indexed="81"/>
            <rFont val="Tahoma"/>
            <family val="2"/>
          </rPr>
          <t xml:space="preserve">
Electric replacements? 
14% of commercial buildings are electric het according to the Long Island potential study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Rush, Meaghan</author>
    <author>Rush, Meaghan C (US)</author>
  </authors>
  <commentList>
    <comment ref="B5" authorId="0" shapeId="0" xr:uid="{5869BA73-6236-4C45-AC12-AB26C2B7FAF7}">
      <text>
        <r>
          <rPr>
            <b/>
            <sz val="9"/>
            <color indexed="81"/>
            <rFont val="Tahoma"/>
            <family val="2"/>
          </rPr>
          <t>Rush, Meaghan:</t>
        </r>
        <r>
          <rPr>
            <sz val="9"/>
            <color indexed="81"/>
            <rFont val="Tahoma"/>
            <family val="2"/>
          </rPr>
          <t xml:space="preserve">
Add language defining small business</t>
        </r>
      </text>
    </comment>
    <comment ref="C18" authorId="1" shapeId="0" xr:uid="{7A845CE0-EF9A-4C02-B68C-B94D54E1CFA6}">
      <text>
        <r>
          <rPr>
            <b/>
            <sz val="9"/>
            <color indexed="81"/>
            <rFont val="Tahoma"/>
            <family val="2"/>
          </rPr>
          <t>Rush, Meaghan C (US):</t>
        </r>
        <r>
          <rPr>
            <sz val="9"/>
            <color indexed="81"/>
            <rFont val="Tahoma"/>
            <family val="2"/>
          </rPr>
          <t xml:space="preserve">
Remove
auto "All Size"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Rush, Meaghan C (US)</author>
  </authors>
  <commentList>
    <comment ref="X37" authorId="0" shapeId="0" xr:uid="{7A52B6D3-1BEF-4C05-AF46-D49660775156}">
      <text>
        <r>
          <rPr>
            <b/>
            <sz val="9"/>
            <color indexed="81"/>
            <rFont val="Tahoma"/>
            <family val="2"/>
          </rPr>
          <t>Rush, Meaghan C (US):</t>
        </r>
        <r>
          <rPr>
            <sz val="9"/>
            <color indexed="81"/>
            <rFont val="Tahoma"/>
            <family val="2"/>
          </rPr>
          <t xml:space="preserve">
EFLH may need to be adjusted for whole building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C354" authorId="0" shapeId="0" xr:uid="{4631AB88-95E0-48CE-939C-C699408CEC3B}">
      <text>
        <r>
          <rPr>
            <b/>
            <sz val="9"/>
            <color indexed="81"/>
            <rFont val="Tahoma"/>
            <family val="2"/>
          </rPr>
          <t>Rush, Meaghan:</t>
        </r>
        <r>
          <rPr>
            <sz val="9"/>
            <color indexed="81"/>
            <rFont val="Tahoma"/>
            <family val="2"/>
          </rPr>
          <t xml:space="preserve">
May have to be changed.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Molloy, Keith</author>
    <author>Rush, Meaghan C (US)</author>
    <author>Rush, Meaghan</author>
    <author>Michael Gentile</author>
  </authors>
  <commentList>
    <comment ref="B21" authorId="0" shapeId="0" xr:uid="{00000000-0006-0000-0E00-000006000000}">
      <text>
        <r>
          <rPr>
            <b/>
            <sz val="9"/>
            <color indexed="81"/>
            <rFont val="Tahoma"/>
            <family val="2"/>
          </rPr>
          <t>Molloy, Keith:</t>
        </r>
        <r>
          <rPr>
            <sz val="9"/>
            <color indexed="81"/>
            <rFont val="Tahoma"/>
            <family val="2"/>
          </rPr>
          <t xml:space="preserve">
eGRID subregion annual CO2 non-baseload output emission rate (lb/MWh), NPCC Long Island
</t>
        </r>
      </text>
    </comment>
    <comment ref="W42" authorId="1" shapeId="0" xr:uid="{015FE2F7-88E6-4C8B-9135-157CBDDF6599}">
      <text>
        <r>
          <rPr>
            <b/>
            <sz val="9"/>
            <color indexed="81"/>
            <rFont val="Tahoma"/>
            <family val="2"/>
          </rPr>
          <t>Rush, Meaghan C (US):</t>
        </r>
        <r>
          <rPr>
            <sz val="9"/>
            <color indexed="81"/>
            <rFont val="Tahoma"/>
            <family val="2"/>
          </rPr>
          <t xml:space="preserve">
Split system is more common residentially. Most cold climate HPs will cater to that. Split will have higher efficiency</t>
        </r>
      </text>
    </comment>
    <comment ref="L55" authorId="2" shapeId="0" xr:uid="{82FDD3DA-EBD7-4F20-9097-F985FF521B1E}">
      <text>
        <r>
          <rPr>
            <b/>
            <sz val="9"/>
            <color indexed="81"/>
            <rFont val="Tahoma"/>
            <family val="2"/>
          </rPr>
          <t>Rush, Meaghan:</t>
        </r>
        <r>
          <rPr>
            <sz val="9"/>
            <color indexed="81"/>
            <rFont val="Tahoma"/>
            <family val="2"/>
          </rPr>
          <t xml:space="preserve">
ODC Final 2021 TRM</t>
        </r>
      </text>
    </comment>
    <comment ref="AN55" authorId="3" shapeId="0" xr:uid="{00000000-0006-0000-0E00-00000C000000}">
      <text>
        <r>
          <rPr>
            <b/>
            <sz val="9"/>
            <color indexed="81"/>
            <rFont val="Tahoma"/>
            <family val="2"/>
          </rPr>
          <t>Michael Gentile:</t>
        </r>
        <r>
          <rPr>
            <sz val="9"/>
            <color indexed="81"/>
            <rFont val="Tahoma"/>
            <family val="2"/>
          </rPr>
          <t xml:space="preserve">
Removed VRFs.  They do not get AC retrofit rebates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<sst xmlns="http://schemas.openxmlformats.org/spreadsheetml/2006/main" count="5691" uniqueCount="2360">
  <si>
    <t xml:space="preserve">Account Name : </t>
  </si>
  <si>
    <t xml:space="preserve">Account # : </t>
  </si>
  <si>
    <t xml:space="preserve">Facility Address : </t>
  </si>
  <si>
    <t xml:space="preserve">City, State, Zip : </t>
  </si>
  <si>
    <t xml:space="preserve">Phone : </t>
  </si>
  <si>
    <t xml:space="preserve">Contact Name / Title : </t>
  </si>
  <si>
    <t xml:space="preserve">Fax  : </t>
  </si>
  <si>
    <t xml:space="preserve">E-mail : </t>
  </si>
  <si>
    <t xml:space="preserve">Cell : </t>
  </si>
  <si>
    <t>Equipment Type</t>
  </si>
  <si>
    <t>Sub Category</t>
  </si>
  <si>
    <t>Split System</t>
  </si>
  <si>
    <t>AIRQUEST</t>
  </si>
  <si>
    <t>ARCOAIRE</t>
  </si>
  <si>
    <t>BRYANT</t>
  </si>
  <si>
    <t>COMFORTMAKER</t>
  </si>
  <si>
    <t>DAY &amp; NIGHT</t>
  </si>
  <si>
    <t>HEIL</t>
  </si>
  <si>
    <t>ICP COMMERCIAL</t>
  </si>
  <si>
    <t>KEEPRITE</t>
  </si>
  <si>
    <t>TEMPSTAR</t>
  </si>
  <si>
    <t>TRANE</t>
  </si>
  <si>
    <t>WESTINGHOUSE</t>
  </si>
  <si>
    <t>Manufacturer</t>
  </si>
  <si>
    <t>Size Category</t>
  </si>
  <si>
    <t>All Sizes</t>
  </si>
  <si>
    <t>SEER</t>
  </si>
  <si>
    <t>EER</t>
  </si>
  <si>
    <t>Quantity</t>
  </si>
  <si>
    <t>Total Rebate</t>
  </si>
  <si>
    <t>N/A</t>
  </si>
  <si>
    <t>Equipment Type - Size Categories</t>
  </si>
  <si>
    <t>VLOOKUP</t>
  </si>
  <si>
    <t>Drop Down Lists</t>
  </si>
  <si>
    <t>Rebate*</t>
  </si>
  <si>
    <t>* ($/Ton)</t>
  </si>
  <si>
    <t>Total Rebate ($)</t>
  </si>
  <si>
    <t>Tons</t>
  </si>
  <si>
    <t>Rebate</t>
  </si>
  <si>
    <t>Size Requirements</t>
  </si>
  <si>
    <t>Efficiency Requirements</t>
  </si>
  <si>
    <t>Range</t>
  </si>
  <si>
    <t>Minimum</t>
  </si>
  <si>
    <t>Maximum</t>
  </si>
  <si>
    <t>None</t>
  </si>
  <si>
    <t>Existing Unit</t>
  </si>
  <si>
    <t>New Unit</t>
  </si>
  <si>
    <t>Size (tons)</t>
  </si>
  <si>
    <t>Room Air Conditioners</t>
  </si>
  <si>
    <t>Existing Unit (max)</t>
  </si>
  <si>
    <t>New Unit (min)</t>
  </si>
  <si>
    <t>To complete the worksheet, follow these simple steps:</t>
  </si>
  <si>
    <t>1.</t>
  </si>
  <si>
    <t>2.</t>
  </si>
  <si>
    <t xml:space="preserve">• </t>
  </si>
  <si>
    <t>3.</t>
  </si>
  <si>
    <t>4.</t>
  </si>
  <si>
    <t>5.</t>
  </si>
  <si>
    <t>Current Version (Customer Inputs, Eligibility Table)</t>
  </si>
  <si>
    <t>Current Effective Date (Eligibility Table)</t>
  </si>
  <si>
    <t>date</t>
  </si>
  <si>
    <t>description</t>
  </si>
  <si>
    <t>initials</t>
  </si>
  <si>
    <t>version</t>
  </si>
  <si>
    <t>SN</t>
  </si>
  <si>
    <t>Initial Draft Worksheet Developed</t>
  </si>
  <si>
    <t>Ex.</t>
  </si>
  <si>
    <t>FLCH</t>
  </si>
  <si>
    <t>10.24.11</t>
  </si>
  <si>
    <t>11.15.11</t>
  </si>
  <si>
    <t>Update Worksheet to fix bugs, make similar to Lighting Retrofit Worksheet</t>
  </si>
  <si>
    <t>1.00</t>
  </si>
  <si>
    <t>6.</t>
  </si>
  <si>
    <t>If the rebate cell is blank, check the inputs to see if all criteria are met.  The rebate cell will be blank if the quantity is zero, the size is zero, or if the equipment status cell evaluates to an error.</t>
  </si>
  <si>
    <t>Added Instructions, Eligibility Table and Development tab</t>
  </si>
  <si>
    <t>11.21.11</t>
  </si>
  <si>
    <t>Added 15 EER, 30 SEER maximums to Customer Inputs tab</t>
  </si>
  <si>
    <t>Changed Calculations in Eff-Size Qualification tab.  Only returns Pass/Fail as a result now</t>
  </si>
  <si>
    <t>Updated cell references to Named ranges instead of Row/Column range references</t>
  </si>
  <si>
    <t>Building Type</t>
  </si>
  <si>
    <t>Added Building Type drop-down to Customer Inputs tab</t>
  </si>
  <si>
    <t>Edited Instruction Sheet</t>
  </si>
  <si>
    <t>11.22.11</t>
  </si>
  <si>
    <t>JR</t>
  </si>
  <si>
    <t>Corrected Existing Equipment Type dropdown</t>
  </si>
  <si>
    <t>Created Summary tab</t>
  </si>
  <si>
    <t>Removed Heating inputs/calculations</t>
  </si>
  <si>
    <t>Released as Version 1.00</t>
  </si>
  <si>
    <t>12.06.11</t>
  </si>
  <si>
    <t>Updated Summary tab</t>
  </si>
  <si>
    <t>&lt; 5.4 Tons</t>
  </si>
  <si>
    <t>Air Conditioners - Air Cooled</t>
  </si>
  <si>
    <t>Air Conditioners - Water &amp; Evaporatively Cooled</t>
  </si>
  <si>
    <t>≥ 11.25 &amp; &lt; 20 Tons</t>
  </si>
  <si>
    <t>≥ 20 &amp; &lt; 63 Tons</t>
  </si>
  <si>
    <t>Air Cooled Heat Pumps</t>
  </si>
  <si>
    <t>&lt; 11.25 Tons</t>
  </si>
  <si>
    <t>Water Source Heat Pumps</t>
  </si>
  <si>
    <t>≥ 5.4 &amp; &lt; 11.25 Tons</t>
  </si>
  <si>
    <t>Single Package</t>
  </si>
  <si>
    <t>COP</t>
  </si>
  <si>
    <t>HSPF</t>
  </si>
  <si>
    <t>14.0 EER
4.6 COP</t>
  </si>
  <si>
    <t>10.5 EER
3.2 COP</t>
  </si>
  <si>
    <t>11.5 EER
3.2 COP</t>
  </si>
  <si>
    <t>11.5 EER
3.4 COP</t>
  </si>
  <si>
    <t>≥ 5.4 &amp; &lt;11.25 tons</t>
  </si>
  <si>
    <t>14.0 SEER
11.6 EER
8.0 HSPF</t>
  </si>
  <si>
    <t>Heat Pumps</t>
  </si>
  <si>
    <t>14.0 EER</t>
  </si>
  <si>
    <t>10.2 EER</t>
  </si>
  <si>
    <t>9.7 EER</t>
  </si>
  <si>
    <t>10.8 EER</t>
  </si>
  <si>
    <t>10.5 EER</t>
  </si>
  <si>
    <t>12.0 EER</t>
  </si>
  <si>
    <t>11.5 EER</t>
  </si>
  <si>
    <t>15.0 SEER
12.0 EER</t>
  </si>
  <si>
    <t>14.0 SEER
11.6 EER</t>
  </si>
  <si>
    <t>15.0 SEER
12.5 EER</t>
  </si>
  <si>
    <t>14.0 SEER
12.0 EER</t>
  </si>
  <si>
    <t>Air Conditioning</t>
  </si>
  <si>
    <t>Tier 2</t>
  </si>
  <si>
    <t>Tier 1</t>
  </si>
  <si>
    <t>Air Cooled Heat Pumps ≥ 20 &amp; &lt; 63 Tons Single Package</t>
  </si>
  <si>
    <t>Air Cooled Heat Pumps ≥ 20 &amp; &lt; 63 Tons Split System</t>
  </si>
  <si>
    <t>Air Cooled Heat Pumps ≥ 11.25 &amp; &lt; 20 Tons Single Package</t>
  </si>
  <si>
    <t>Air Cooled Heat Pumps ≥ 11.25 &amp; &lt; 20 Tons Split System</t>
  </si>
  <si>
    <t>Air Cooled Heat Pumps ≥ 5.4 &amp; &lt; 11.25 Tons Single Package</t>
  </si>
  <si>
    <t>Air Cooled Heat Pumps ≥ 5.4 &amp; &lt; 11.25 Tons Split System</t>
  </si>
  <si>
    <t>Air Cooled Heat Pumps &lt; 5.4 Tons Single Package</t>
  </si>
  <si>
    <t>Air Cooled Heat Pumps &lt; 5.4 Tons Split System</t>
  </si>
  <si>
    <t>Air Conditioners - Water &amp; Evaporatively Cooled All Sizes Split System</t>
  </si>
  <si>
    <t>Air Conditioners - Air Cooled ≥ 63 Tons Single Package</t>
  </si>
  <si>
    <t>Air Conditioners - Air Cooled ≥ 63 Tons Split System</t>
  </si>
  <si>
    <t>Air Conditioners - Air Cooled ≥ 20 &amp; &lt; 63 Tons Single Package</t>
  </si>
  <si>
    <t>Air Conditioners - Air Cooled ≥ 20 &amp; &lt; 63 Tons Split System</t>
  </si>
  <si>
    <t>Air Conditioners - Air Cooled ≥ 11.25 &amp; &lt; 20 Tons Single Package</t>
  </si>
  <si>
    <t>≥ 63 Tons</t>
  </si>
  <si>
    <t>Air Conditioners - Air Cooled ≥ 11.25 &amp; &lt; 20 Tons Split System</t>
  </si>
  <si>
    <t>Air Conditioners - Air Cooled ≥ 5.4 &amp; &lt; 11.25 Tons Single Package</t>
  </si>
  <si>
    <t>Air Conditioners - Air Cooled ≥ 5.4 &amp; &lt; 11.25 Tons Split System</t>
  </si>
  <si>
    <t>Air Conditioners - Air Cooled &lt; 5.4 Tons Single Package</t>
  </si>
  <si>
    <t>Air Conditioners - Air Cooled &lt; 5.4 Tons Split System</t>
  </si>
  <si>
    <t>Baseline</t>
  </si>
  <si>
    <t>Equipment Type - Sub Categories</t>
  </si>
  <si>
    <t>FLHH</t>
  </si>
  <si>
    <t>Tier</t>
  </si>
  <si>
    <t>Fixed Name References</t>
  </si>
  <si>
    <t>Update Worksheet to fix bugs, make similar to AC Retrofit Worksheet</t>
  </si>
  <si>
    <t>Added Zoom Macro</t>
  </si>
  <si>
    <t>Added Clear Inputs Button and Macro</t>
  </si>
  <si>
    <t>Added Energy Savings Calculations</t>
  </si>
  <si>
    <t>Revised Calculations</t>
  </si>
  <si>
    <t>Re-arranged layout</t>
  </si>
  <si>
    <t>Initial HVAC Worksheet Created (Modified from Previous Version)</t>
  </si>
  <si>
    <t>HVAC Worksheet</t>
  </si>
  <si>
    <t>R0.00</t>
  </si>
  <si>
    <t>R0.01</t>
  </si>
  <si>
    <t>R0.02</t>
  </si>
  <si>
    <t>R0.03</t>
  </si>
  <si>
    <t>R0.04</t>
  </si>
  <si>
    <t>R1.00</t>
  </si>
  <si>
    <t>R1.01</t>
  </si>
  <si>
    <t>NC6.01</t>
  </si>
  <si>
    <t>NC6.02</t>
  </si>
  <si>
    <t>NC6.03</t>
  </si>
  <si>
    <t>12.07.11</t>
  </si>
  <si>
    <t>12.08.11</t>
  </si>
  <si>
    <t>12.30.11</t>
  </si>
  <si>
    <t>Merged Existing and New HVAC Worksheets into Complete HVAC Worksheet</t>
  </si>
  <si>
    <t>For replacement of Existing Equipment in working condition</t>
  </si>
  <si>
    <t>New Equipment Efficiency</t>
  </si>
  <si>
    <t>All Types</t>
  </si>
  <si>
    <t>Ductless Mini-Split AC</t>
  </si>
  <si>
    <t>Air conditioners, Air cooled (Cooling Mode)</t>
  </si>
  <si>
    <t>Air Conditioners, Water and Evaporatively Cooled</t>
  </si>
  <si>
    <t>Ductless Mini-Split Heat Pump</t>
  </si>
  <si>
    <t>&lt; 2.5 Tons</t>
  </si>
  <si>
    <t>Existing Equipment Type</t>
  </si>
  <si>
    <t>Room Air Conditioner</t>
  </si>
  <si>
    <t>Other</t>
  </si>
  <si>
    <t>Tier 0</t>
  </si>
  <si>
    <t>Tier 1 &amp; Tier 2</t>
  </si>
  <si>
    <t>Room Air Conditioners &lt; 2.5 Tons All Types Room Air Conditioner</t>
  </si>
  <si>
    <t>New Equipment Type</t>
  </si>
  <si>
    <t>Enter only one new / existing combination per row.  Use multiple rows for areas with more than one new / existing combination.</t>
  </si>
  <si>
    <r>
      <t xml:space="preserve">If your project requires more than 25 lines to list all equipment, continue on a second </t>
    </r>
    <r>
      <rPr>
        <u/>
        <sz val="12"/>
        <rFont val="Arial Narrow"/>
        <family val="2"/>
      </rPr>
      <t>HVAC Worksheet</t>
    </r>
    <r>
      <rPr>
        <sz val="12"/>
        <rFont val="Arial Narrow"/>
        <family val="2"/>
      </rPr>
      <t>.</t>
    </r>
  </si>
  <si>
    <t>01.03.12</t>
  </si>
  <si>
    <t>Edited changes between two worksheets</t>
  </si>
  <si>
    <t>1.03</t>
  </si>
  <si>
    <t>Air Conditioners - Water &amp; Evaporatively Cooled All Sizes Single Package</t>
  </si>
  <si>
    <t>Air Conditioners - Air Cooled &lt; 5.4 Tons Single Package Room Air Conditioner</t>
  </si>
  <si>
    <t>Air Conditioners - Air Cooled &lt; 5.4 Tons Split System Room Air Conditioner</t>
  </si>
  <si>
    <t>Air Conditioners - Air Cooled &lt; 5.4 Tons Split System Split System</t>
  </si>
  <si>
    <t>01.05.12</t>
  </si>
  <si>
    <t>Updated Data Validation lists on Customer Inputs tab</t>
  </si>
  <si>
    <t>1.04</t>
  </si>
  <si>
    <t>01.06.12</t>
  </si>
  <si>
    <t>1.06</t>
  </si>
  <si>
    <t>Updated WorksheetOpen() macro to work with Excel 2010 Protected View</t>
  </si>
  <si>
    <t>Added Auto Zoom button</t>
  </si>
  <si>
    <t>Ductless Mini-Split AC &lt; 5.4 tons All Types</t>
  </si>
  <si>
    <t>Air Conditioners - Air Cooled ≥ 5.4 &amp; &lt; 11.25 Tons Split System Split System</t>
  </si>
  <si>
    <t>Air Conditioners - Air Cooled ≥ 5.4 &amp; &lt; 11.25 Tons Split System Single Package</t>
  </si>
  <si>
    <t>Air Conditioners - Air Cooled ≥ 5.4 &amp; &lt; 11.25 Tons Single Package Split System</t>
  </si>
  <si>
    <t>Air Conditioners - Air Cooled ≥ 5.4 &amp; &lt; 11.25 Tons Single Package Single Package</t>
  </si>
  <si>
    <t>Air Conditioners - Air Cooled ≥ 11.25 &amp; &lt; 20 Tons Split System Split System</t>
  </si>
  <si>
    <t>Air Conditioners - Air Cooled ≥ 11.25 &amp; &lt; 20 Tons Split System Single Package</t>
  </si>
  <si>
    <t>Air Conditioners - Air Cooled ≥ 11.25 &amp; &lt; 20 Tons Single Package Split System</t>
  </si>
  <si>
    <t>Air Conditioners - Air Cooled ≥ 11.25 &amp; &lt; 20 Tons Single Package Single Package</t>
  </si>
  <si>
    <t>Air Conditioners - Air Cooled ≥ 63 Tons Split System Split System</t>
  </si>
  <si>
    <t>Air Conditioners - Air Cooled ≥ 63 Tons Split System Single Package</t>
  </si>
  <si>
    <t>Air Conditioners - Air Cooled ≥ 63 Tons Single Package Split System</t>
  </si>
  <si>
    <t>Air Conditioners - Air Cooled ≥ 63 Tons Single Package Single Package</t>
  </si>
  <si>
    <t>Ductless Mini-Split AC &lt; 5.4 Tons All Types Room Air Conditioner</t>
  </si>
  <si>
    <t>Air Conditioners - Air Cooled ≥ 20 &amp; &lt; 63 Tons Split System Split System</t>
  </si>
  <si>
    <t>Air Conditioners - Air Cooled ≥ 20 &amp; &lt; 63 Tons Split System Single Package</t>
  </si>
  <si>
    <t>Air Conditioners - Air Cooled ≥ 20 &amp; &lt; 63 Tons Single Package Split System</t>
  </si>
  <si>
    <t>Air Conditioners - Air Cooled ≥ 20 &amp; &lt; 63 Tons Single Package Single Package</t>
  </si>
  <si>
    <t>For new equipment or replacement of Existing Equipment that does not meet the conditions in the previous columns</t>
  </si>
  <si>
    <t>2012 Commercial Efficiency Program</t>
  </si>
  <si>
    <t>Fixed differences in References causing errors in calculating rebate values</t>
  </si>
  <si>
    <t>1.07</t>
  </si>
  <si>
    <t>1.08</t>
  </si>
  <si>
    <t>01.09.12</t>
  </si>
  <si>
    <r>
      <t xml:space="preserve">Removed IF(Proposed EER </t>
    </r>
    <r>
      <rPr>
        <sz val="12"/>
        <color indexed="8"/>
        <rFont val="Arial"/>
        <family val="2"/>
      </rPr>
      <t>≤</t>
    </r>
    <r>
      <rPr>
        <sz val="12"/>
        <color indexed="8"/>
        <rFont val="Arial Narrow"/>
        <family val="2"/>
      </rPr>
      <t xml:space="preserve"> 0,FAIL) in "New Unit Test - EER" in Eff-Size Qualification tab </t>
    </r>
  </si>
  <si>
    <t xml:space="preserve">              Summary Table</t>
  </si>
  <si>
    <t>Gross kWh per Unit</t>
  </si>
  <si>
    <t>Gross kW per Unit</t>
  </si>
  <si>
    <t>Total kW</t>
  </si>
  <si>
    <t>Total kWh</t>
  </si>
  <si>
    <t>Added Summary tab</t>
  </si>
  <si>
    <t>1.09</t>
  </si>
  <si>
    <t>Required both categories (EER:EER, SEER:SEER, HSPF:HSPF, COP:COP) present for calculations</t>
  </si>
  <si>
    <t>10.4 EER</t>
  </si>
  <si>
    <t>Application Totals</t>
  </si>
  <si>
    <t>Final</t>
  </si>
  <si>
    <t>Changed Room AC requirements from 12.0 SEER to 10.4 EER</t>
  </si>
  <si>
    <t>01.12.12</t>
  </si>
  <si>
    <t>Split Summary into Tier 1 and Tier 2</t>
  </si>
  <si>
    <t>Restarted Numbering</t>
  </si>
  <si>
    <t>AAON, INC.</t>
  </si>
  <si>
    <t>AEROSYS, INC.</t>
  </si>
  <si>
    <t>AIR GREEN CORPORATION</t>
  </si>
  <si>
    <t>AIR-CON INTERNATIONAL, INC.</t>
  </si>
  <si>
    <t>AIREASE</t>
  </si>
  <si>
    <t>AIRE-FLO</t>
  </si>
  <si>
    <t>AMANA HEATING AND AIR CONDITIONING</t>
  </si>
  <si>
    <t>AMERICAN STANDARD, INC.</t>
  </si>
  <si>
    <t>ARMSTRONG AIR CONDITIONING, INC.</t>
  </si>
  <si>
    <t>BARD MANUFACTURING COMPANY</t>
  </si>
  <si>
    <t>BEUTLER CORPORATION</t>
  </si>
  <si>
    <t>BROAN</t>
  </si>
  <si>
    <t>CARRIER AIR CONDITIONING</t>
  </si>
  <si>
    <t>COAIRE CORPORATION</t>
  </si>
  <si>
    <t>COLEMAN, UNITARY PRODUCTS GROUP</t>
  </si>
  <si>
    <t>CONCORD</t>
  </si>
  <si>
    <t>DAIKIN AC (AMERICAS), INC.</t>
  </si>
  <si>
    <t>DAYTON ELECTRIC MANUFACTURING COMPANY</t>
  </si>
  <si>
    <t>DIAMONDAIR, INC.</t>
  </si>
  <si>
    <t>DUCANE</t>
  </si>
  <si>
    <t>EAIR LLC</t>
  </si>
  <si>
    <t>ECOTEMP</t>
  </si>
  <si>
    <t>ELECT-AIRE</t>
  </si>
  <si>
    <t>ENVIROMASTER INTERNATIONAL</t>
  </si>
  <si>
    <t>EVCON, UNITARY PRODUCTS GROUP</t>
  </si>
  <si>
    <t>FRASER - JOHNSTON, UNITARY PRODUCTS GROUP</t>
  </si>
  <si>
    <t>FRIEDRICH AIR CONDITIONING CO.</t>
  </si>
  <si>
    <t>FRIGIDAIRE</t>
  </si>
  <si>
    <t>FUJITSU GENERAL AMERICA, INC.</t>
  </si>
  <si>
    <t>GARRISON</t>
  </si>
  <si>
    <t>GD MIDEA AIR-CONDITIONING EQUIPMENT CO., LTD.</t>
  </si>
  <si>
    <t>GE CONSUMER &amp; INDUSTRIAL</t>
  </si>
  <si>
    <t>GIBSON</t>
  </si>
  <si>
    <t>GOODMAN MANUFACTURING CO., LP.</t>
  </si>
  <si>
    <t>GRANDAIRE</t>
  </si>
  <si>
    <t>GREE ELECTRIC APPLIANCES INC. OF ZHUHAI</t>
  </si>
  <si>
    <t>GUANGDONG CHIGO AIR-CONDITIONING CO., LTD.</t>
  </si>
  <si>
    <t>GUARDIAN, UNITARY PRODUCTS GROUP</t>
  </si>
  <si>
    <t>HAIER AMERICA</t>
  </si>
  <si>
    <t>HEAT CONTROLLER, INC.</t>
  </si>
  <si>
    <t>INNOVAIR CORPORATION</t>
  </si>
  <si>
    <t>INTERNATIONAL REFRIGERATION PRODUCTS, INC.</t>
  </si>
  <si>
    <t>INTERTHERM</t>
  </si>
  <si>
    <t>JOHNSON CONTROLS, UNITARY PRODUCTS - COMMERCIAL</t>
  </si>
  <si>
    <t>KELVINATOR</t>
  </si>
  <si>
    <t>KENMORE</t>
  </si>
  <si>
    <t>KLIMAIRE PRODUCTS INC.</t>
  </si>
  <si>
    <t>LENNOX INDUSTRIES, INC.</t>
  </si>
  <si>
    <t>LG ELECTRONICS, INC.</t>
  </si>
  <si>
    <t>LUXAIRE, UNITARY PRODUCTS GROUP</t>
  </si>
  <si>
    <t>MAMMOTH, INC.</t>
  </si>
  <si>
    <t>MARATHERM</t>
  </si>
  <si>
    <t>MAYTAG</t>
  </si>
  <si>
    <t>MCQUAY INTERNATIONAL</t>
  </si>
  <si>
    <t>MEDALLION</t>
  </si>
  <si>
    <t>MILLER</t>
  </si>
  <si>
    <t>MITSUBISHI ELECTRIC AND ELECTRONICS USA, INC.</t>
  </si>
  <si>
    <t>NATIONAL COMFORT PRODUCTS</t>
  </si>
  <si>
    <t>NORDYNE, INC.</t>
  </si>
  <si>
    <t>NUTONE</t>
  </si>
  <si>
    <t>PANASONIC CORPORATION OF NORTH AMERICA</t>
  </si>
  <si>
    <t>PAYNE HEATING AND COOLING</t>
  </si>
  <si>
    <t>PETRA ENGINEERING INDUSTRIES CO.</t>
  </si>
  <si>
    <t>PHILCO</t>
  </si>
  <si>
    <t>QUIETSIDE</t>
  </si>
  <si>
    <t>RHEEM MANUFACTURING COMPANY</t>
  </si>
  <si>
    <t>RICHMOND</t>
  </si>
  <si>
    <t>RUUD AIR CONDITIONING DIVISION</t>
  </si>
  <si>
    <t>SANYO COMMERCIAL SOLUTIONS</t>
  </si>
  <si>
    <t>TAPPAN</t>
  </si>
  <si>
    <t>TEXAS FURNACE, LLC</t>
  </si>
  <si>
    <t>THERMO PRODUCTS, INC.</t>
  </si>
  <si>
    <t>UNITED REFRIGERATION DISTRIBUTORS, INC.</t>
  </si>
  <si>
    <t>V-AIRE</t>
  </si>
  <si>
    <t>WEATHERKING AIR CONDITIONING DIVISION</t>
  </si>
  <si>
    <t>WHIRLPOOL</t>
  </si>
  <si>
    <t>XENON</t>
  </si>
  <si>
    <t>YMGI GROUP LLC.</t>
  </si>
  <si>
    <t>YORK, UNITARY PRODUCTS GROUP</t>
  </si>
  <si>
    <t>OTHER</t>
  </si>
  <si>
    <t>01.30.12</t>
  </si>
  <si>
    <t>Expanded manufacturer's list</t>
  </si>
  <si>
    <t>KM</t>
  </si>
  <si>
    <t>Trane</t>
  </si>
  <si>
    <t>1.31.12</t>
  </si>
  <si>
    <t>Removed required fields for Mfr and Model</t>
  </si>
  <si>
    <t>Deleted the drop down list for Mfr</t>
  </si>
  <si>
    <t>Code</t>
  </si>
  <si>
    <t>AC201</t>
  </si>
  <si>
    <t>AC202</t>
  </si>
  <si>
    <t>AC301</t>
  </si>
  <si>
    <t>AC302</t>
  </si>
  <si>
    <t>AC401</t>
  </si>
  <si>
    <t>AC402</t>
  </si>
  <si>
    <t>AC101</t>
  </si>
  <si>
    <t>AC800</t>
  </si>
  <si>
    <t>AC900</t>
  </si>
  <si>
    <t>AC501</t>
  </si>
  <si>
    <t>AC601</t>
  </si>
  <si>
    <t>AC701</t>
  </si>
  <si>
    <t>AC801</t>
  </si>
  <si>
    <t>AC901</t>
  </si>
  <si>
    <t>AC1001</t>
  </si>
  <si>
    <t>AC502</t>
  </si>
  <si>
    <t>AC602</t>
  </si>
  <si>
    <t>AC702</t>
  </si>
  <si>
    <t>AC802</t>
  </si>
  <si>
    <t>AC902</t>
  </si>
  <si>
    <t>AC1002</t>
  </si>
  <si>
    <t>CEE Tier 0</t>
  </si>
  <si>
    <t>CEE Tier 1</t>
  </si>
  <si>
    <t>CEE Tier 2</t>
  </si>
  <si>
    <t>NA</t>
  </si>
  <si>
    <t>Current LIPA Existing Equip.</t>
  </si>
  <si>
    <t>Current LIPA New Equip.</t>
  </si>
  <si>
    <t>Comments</t>
  </si>
  <si>
    <t>11.7 EER</t>
  </si>
  <si>
    <t>11.6 IEER</t>
  </si>
  <si>
    <t>12.8 IEER</t>
  </si>
  <si>
    <t>13.8 IEER</t>
  </si>
  <si>
    <t>12.3 IEER</t>
  </si>
  <si>
    <t>13.0 IEER</t>
  </si>
  <si>
    <t>10.3 EER</t>
  </si>
  <si>
    <t>10.4 IEER</t>
  </si>
  <si>
    <t>11.1 IEER</t>
  </si>
  <si>
    <t>10.6 EER</t>
  </si>
  <si>
    <t>12.1 IEER</t>
  </si>
  <si>
    <t>9.8 IEER</t>
  </si>
  <si>
    <t>10.9 IEER</t>
  </si>
  <si>
    <t>11.4 IEER</t>
  </si>
  <si>
    <t>Change in EER</t>
  </si>
  <si>
    <t>14 EER</t>
  </si>
  <si>
    <t>&gt;=11.25 Tons</t>
  </si>
  <si>
    <t>13.8 EER</t>
  </si>
  <si>
    <t>15.1 IEER</t>
  </si>
  <si>
    <t>14.6 IEER</t>
  </si>
  <si>
    <t>Air Conditioners, Water Cooled</t>
  </si>
  <si>
    <t>Air Conditioners, Evaporatively Cooled</t>
  </si>
  <si>
    <t>13.3 EER</t>
  </si>
  <si>
    <t>14.1 IEER</t>
  </si>
  <si>
    <t>Subcategory</t>
  </si>
  <si>
    <t>CEE Tier 0 (Cooling Mode)</t>
  </si>
  <si>
    <t>11.1 EER</t>
  </si>
  <si>
    <t>11.2 IEER</t>
  </si>
  <si>
    <t>10.7 EER</t>
  </si>
  <si>
    <t>10.8 IEER</t>
  </si>
  <si>
    <t>10.1 EER</t>
  </si>
  <si>
    <t>10.2 IEER</t>
  </si>
  <si>
    <t>15.0 SEER 12.0 EER 8.5 HSPF</t>
  </si>
  <si>
    <t>15.0 SEER 12.5 EER 9.0 HSPF</t>
  </si>
  <si>
    <t>14.0 SEER 12.0 EER 8.5 HSPF</t>
  </si>
  <si>
    <t>IEER added to criteria; efficiency ratings do not differentiate between Split or Single</t>
  </si>
  <si>
    <t>11.1 EER 12.1 IEER 3.4 COP</t>
  </si>
  <si>
    <t>10.7 EER 11.7 IEER 3.2 COP</t>
  </si>
  <si>
    <t>10.1 EER 10.7 IEER 3.2 COP</t>
  </si>
  <si>
    <t>No Spec.</t>
  </si>
  <si>
    <t>14.0 EER 4.6 COP</t>
  </si>
  <si>
    <t>14.9 IEER</t>
  </si>
  <si>
    <t>14.4 IEER</t>
  </si>
  <si>
    <t>IEER added to criteria; efficiency ratings for "Multisplit system"</t>
  </si>
  <si>
    <t>VRF Air Cooled (Cooling Mode)</t>
  </si>
  <si>
    <t>AC203</t>
  </si>
  <si>
    <t>AC303</t>
  </si>
  <si>
    <t>AC403</t>
  </si>
  <si>
    <t>AC503</t>
  </si>
  <si>
    <t>AC603</t>
  </si>
  <si>
    <t>AC703</t>
  </si>
  <si>
    <t>AC803</t>
  </si>
  <si>
    <t>AC903</t>
  </si>
  <si>
    <t>AC1003</t>
  </si>
  <si>
    <t>AC1100</t>
  </si>
  <si>
    <t>AC1200</t>
  </si>
  <si>
    <t>HP101</t>
  </si>
  <si>
    <t>HP102</t>
  </si>
  <si>
    <t>HP103</t>
  </si>
  <si>
    <t>HP201</t>
  </si>
  <si>
    <t>HP202</t>
  </si>
  <si>
    <t>HP301</t>
  </si>
  <si>
    <t>HP302</t>
  </si>
  <si>
    <t>HP401</t>
  </si>
  <si>
    <t>HP501</t>
  </si>
  <si>
    <t>HP601</t>
  </si>
  <si>
    <t>HP701</t>
  </si>
  <si>
    <t>HP801</t>
  </si>
  <si>
    <t>HP901</t>
  </si>
  <si>
    <t>HP1001</t>
  </si>
  <si>
    <t>3.28.12</t>
  </si>
  <si>
    <t>Changed password</t>
  </si>
  <si>
    <t>Updated version</t>
  </si>
  <si>
    <t>AC1102</t>
  </si>
  <si>
    <t>AC1202</t>
  </si>
  <si>
    <t>AC1103</t>
  </si>
  <si>
    <t>AC1203</t>
  </si>
  <si>
    <t>3.29.12</t>
  </si>
  <si>
    <t>Populated new summary table with lookups</t>
  </si>
  <si>
    <t>Created new summary table</t>
  </si>
  <si>
    <t>Room Air Conditioners &lt; 2.5 Tons All Types Tier 0</t>
  </si>
  <si>
    <t>Ductless Mini-Split AC &lt; 5.4 Tons All Types Tier 0</t>
  </si>
  <si>
    <t>Air Conditioners - Air Cooled &lt; 5.4 Tons Split System Tier 0</t>
  </si>
  <si>
    <t>Air Conditioners - Air Cooled &lt; 5.4 Tons Single Package Tier 0</t>
  </si>
  <si>
    <t>Air Conditioners - Air Cooled ≥ 5.4 &amp; &lt; 11.25 Tons Split System Tier 0</t>
  </si>
  <si>
    <t>Air Conditioners - Air Cooled ≥ 5.4 &amp; &lt; 11.25 Tons Single Package Tier 0</t>
  </si>
  <si>
    <t>Air Conditioners - Air Cooled ≥ 11.25 &amp; &lt; 20 Tons Split System Tier 0</t>
  </si>
  <si>
    <t>Air Conditioners - Air Cooled ≥ 11.25 &amp; &lt; 20 Tons Single Package Tier 0</t>
  </si>
  <si>
    <t>Air Conditioners - Air Cooled ≥ 20 &amp; &lt; 63 Tons Split System Tier 0</t>
  </si>
  <si>
    <t>Air Conditioners - Air Cooled ≥ 20 &amp; &lt; 63 Tons Single Package Tier 0</t>
  </si>
  <si>
    <t>Air Conditioners - Air Cooled ≥ 63 Tons Split System Tier 0</t>
  </si>
  <si>
    <t>Air Conditioners - Air Cooled ≥ 63 Tons Single Package Tier 0</t>
  </si>
  <si>
    <t>Ductless Mini-Split AC &lt; 5.4 Tons All Types Tier 1</t>
  </si>
  <si>
    <t>Air Conditioners - Air Cooled &lt; 5.4 Tons Split System Tier 1</t>
  </si>
  <si>
    <t>Air Conditioners - Air Cooled &lt; 5.4 Tons Single Package Tier 1</t>
  </si>
  <si>
    <t>Air Conditioners - Air Cooled ≥ 5.4 &amp; &lt; 11.25 Tons Split System Tier 1</t>
  </si>
  <si>
    <t>Air Conditioners - Air Cooled ≥ 5.4 &amp; &lt; 11.25 Tons Single Package Tier 1</t>
  </si>
  <si>
    <t>Air Conditioners - Air Cooled ≥ 11.25 &amp; &lt; 20 Tons Split System Tier 1</t>
  </si>
  <si>
    <t>Air Conditioners - Air Cooled ≥ 11.25 &amp; &lt; 20 Tons Single Package Tier 1</t>
  </si>
  <si>
    <t>Air Conditioners - Air Cooled ≥ 20 &amp; &lt; 63 Tons Split System Tier 1</t>
  </si>
  <si>
    <t>Air Conditioners - Air Cooled ≥ 20 &amp; &lt; 63 Tons Single Package Tier 1</t>
  </si>
  <si>
    <t>Air Conditioners - Air Cooled ≥ 63 Tons Split System Tier 1</t>
  </si>
  <si>
    <t>Air Conditioners - Air Cooled ≥ 63 Tons Single Package Tier 1</t>
  </si>
  <si>
    <t>Air Conditioners - Water &amp; Evaporatively Cooled All Sizes Split System Tier 1</t>
  </si>
  <si>
    <t>Air Conditioners - Water &amp; Evaporatively Cooled All Sizes Single Package Tier 1</t>
  </si>
  <si>
    <t>Ductless Mini-Split AC &lt; 5.4 Tons All Types Tier 2</t>
  </si>
  <si>
    <t>Air Conditioners - Air Cooled &lt; 5.4 Tons Split System Tier 2</t>
  </si>
  <si>
    <t>Air Conditioners - Air Cooled &lt; 5.4 Tons Single Package Tier 2</t>
  </si>
  <si>
    <t>Air Conditioners - Air Cooled ≥ 5.4 &amp; &lt; 11.25 Tons Split System Tier 2</t>
  </si>
  <si>
    <t>Air Conditioners - Air Cooled ≥ 5.4 &amp; &lt; 11.25 Tons Single Package Tier 2</t>
  </si>
  <si>
    <t>Air Conditioners - Air Cooled ≥ 11.25 &amp; &lt; 20 Tons Split System Tier 2</t>
  </si>
  <si>
    <t>Air Conditioners - Air Cooled ≥ 11.25 &amp; &lt; 20 Tons Single Package Tier 2</t>
  </si>
  <si>
    <t>Air Conditioners - Air Cooled ≥ 20 &amp; &lt; 63 Tons Split System Tier 2</t>
  </si>
  <si>
    <t>Air Conditioners - Air Cooled ≥ 20 &amp; &lt; 63 Tons Single Package Tier 2</t>
  </si>
  <si>
    <t>Air Conditioners - Air Cooled ≥ 63 Tons Split System Tier 2</t>
  </si>
  <si>
    <t>Air Conditioners - Air Cooled ≥ 63 Tons Single Package Tier 2</t>
  </si>
  <si>
    <t>Air Cooled Heat Pumps &lt; 5.4 Tons Split System Tier 1</t>
  </si>
  <si>
    <t>Air Cooled Heat Pumps &lt; 5.4 Tons Single Package Tier 1</t>
  </si>
  <si>
    <t>Air Cooled Heat Pumps ≥ 11.25 &amp; &lt; 20 Tons Split System Tier 1</t>
  </si>
  <si>
    <t>Air Cooled Heat Pumps ≥ 11.25 &amp; &lt; 20 Tons Single Package Tier 1</t>
  </si>
  <si>
    <t>Air Cooled Heat Pumps ≥ 20 &amp; &lt; 63 Tons Split System Tier 1</t>
  </si>
  <si>
    <t>Air Cooled Heat Pumps ≥ 20 &amp; &lt; 63 Tons Single Package Tier 1</t>
  </si>
  <si>
    <t>Water Source Heat Pumps &lt; 11.25 Tons N/A Tier 1</t>
  </si>
  <si>
    <t>Air Cooled Heat Pumps &lt; 5.4 Tons Split System Tier 2</t>
  </si>
  <si>
    <t>Air Cooled Heat Pumps &lt; 5.4 Tons Single Package Tier 2</t>
  </si>
  <si>
    <t>AC100</t>
  </si>
  <si>
    <t>AC200</t>
  </si>
  <si>
    <t>AC310</t>
  </si>
  <si>
    <t>AC320</t>
  </si>
  <si>
    <t>AC410</t>
  </si>
  <si>
    <t>AC420</t>
  </si>
  <si>
    <t>AC510</t>
  </si>
  <si>
    <t>AC520</t>
  </si>
  <si>
    <t>AC610</t>
  </si>
  <si>
    <t>AC620</t>
  </si>
  <si>
    <t>AC710</t>
  </si>
  <si>
    <t>AC720</t>
  </si>
  <si>
    <t>AC311</t>
  </si>
  <si>
    <t>AC321</t>
  </si>
  <si>
    <t>AC411</t>
  </si>
  <si>
    <t>AC421</t>
  </si>
  <si>
    <t>AC511</t>
  </si>
  <si>
    <t>AC521</t>
  </si>
  <si>
    <t>AC611</t>
  </si>
  <si>
    <t>AC621</t>
  </si>
  <si>
    <t>AC711</t>
  </si>
  <si>
    <t>AC721</t>
  </si>
  <si>
    <t>AC811</t>
  </si>
  <si>
    <t>AC821</t>
  </si>
  <si>
    <t>AC312</t>
  </si>
  <si>
    <t>AC322</t>
  </si>
  <si>
    <t>AC412</t>
  </si>
  <si>
    <t>AC422</t>
  </si>
  <si>
    <t>AC512</t>
  </si>
  <si>
    <t>AC522</t>
  </si>
  <si>
    <t>AC612</t>
  </si>
  <si>
    <t>AC622</t>
  </si>
  <si>
    <t>AC712</t>
  </si>
  <si>
    <t>AC722</t>
  </si>
  <si>
    <t>HP100</t>
  </si>
  <si>
    <t>HP211</t>
  </si>
  <si>
    <t>HP221</t>
  </si>
  <si>
    <t>HP311</t>
  </si>
  <si>
    <t>HP321</t>
  </si>
  <si>
    <t>HP411</t>
  </si>
  <si>
    <t>HP421</t>
  </si>
  <si>
    <t>HP511</t>
  </si>
  <si>
    <t>HP521</t>
  </si>
  <si>
    <t>HP212</t>
  </si>
  <si>
    <t>HP222</t>
  </si>
  <si>
    <t>Code Lookup</t>
  </si>
  <si>
    <t>Equipment</t>
  </si>
  <si>
    <t>Gross kW Savings per Unit</t>
  </si>
  <si>
    <t>Gross kWh Savings per Unit</t>
  </si>
  <si>
    <t>Total kW Savings</t>
  </si>
  <si>
    <t>Measure Code</t>
  </si>
  <si>
    <t>3.30.12</t>
  </si>
  <si>
    <t>Added Lock/Unlock sheet Macro</t>
  </si>
  <si>
    <t>Changed EER base for &lt;5.4 Tons from 11.8 to 11.1</t>
  </si>
  <si>
    <t>4.20.12</t>
  </si>
  <si>
    <t>Air Conditioners - Air Cooled &lt; 5.4 Tons Single Package Single Package</t>
  </si>
  <si>
    <t>YHC024</t>
  </si>
  <si>
    <t>≥ 5.4 &amp; &lt; 11.25 tons</t>
  </si>
  <si>
    <t>Air Cooled Heat Pumps ≥ 5.4 &amp; &lt; 11.25 tons Split System Tier 1</t>
  </si>
  <si>
    <t>Air Cooled Heat Pumps ≥ 5.4 &amp; &lt; 11.25 tons Single Package Tier 1</t>
  </si>
  <si>
    <t>5.14.12</t>
  </si>
  <si>
    <t>Corrected qualification for AC Retrofit on air cooled AC &lt; 5.4 tons single package</t>
  </si>
  <si>
    <t>Updated Total Rebate on Summary Tab</t>
  </si>
  <si>
    <t>Updated Lookup table for HP311 and HP321</t>
  </si>
  <si>
    <t>GHP100</t>
  </si>
  <si>
    <t>GHP101</t>
  </si>
  <si>
    <t>GHP200</t>
  </si>
  <si>
    <t>GHP201</t>
  </si>
  <si>
    <t>GHP102</t>
  </si>
  <si>
    <t>GHP202</t>
  </si>
  <si>
    <t>Direct Exchange (DX)</t>
  </si>
  <si>
    <t>GHP300</t>
  </si>
  <si>
    <t>6.18.12</t>
  </si>
  <si>
    <t>Geothermal categories added to eligibility table</t>
  </si>
  <si>
    <t>Closed Loop</t>
  </si>
  <si>
    <t>Open Loop</t>
  </si>
  <si>
    <t>GHP301</t>
  </si>
  <si>
    <t>GHP302</t>
  </si>
  <si>
    <t>6.25.12</t>
  </si>
  <si>
    <t>Updated sheet to include geothermal categories</t>
  </si>
  <si>
    <t>Geothermal Heat Pumps</t>
  </si>
  <si>
    <t>Ductless Mini-Split Heat Pumps</t>
  </si>
  <si>
    <t>Ductless Mini-Split Heat Pumps &lt; 5.4 Tons All Types Room Air Conditioner</t>
  </si>
  <si>
    <t>Ductless Mini-Split Heat Pumps &lt; 5.4 tons All Types</t>
  </si>
  <si>
    <t>Ductless Mini-Split Heat Pumps &lt; 5.4 Tons All Types Tier 0</t>
  </si>
  <si>
    <t>Ductless Mini-Split Heat Pumps &lt; 5.4 Tons All Types Tier 1</t>
  </si>
  <si>
    <t>Ductless Mini-Split Heat Pumps &lt; 5.4 Tons All Types Tier 2</t>
  </si>
  <si>
    <t>Geothermal Heat Pumps &lt; 11.25 Tons Closed Loop Tier 0</t>
  </si>
  <si>
    <t>Geothermal Heat Pumps &lt; 11.25 Tons Closed Loop Tier 1</t>
  </si>
  <si>
    <t>Geothermal Heat Pumps &lt; 11.25 Tons Closed Loop Tier 2</t>
  </si>
  <si>
    <t>Geothermal Heat Pumps &lt; 11.25 Tons Open Loop Tier 0</t>
  </si>
  <si>
    <t>Geothermal Heat Pumps &lt; 11.25 Tons Open Loop Tier 1</t>
  </si>
  <si>
    <t>Geothermal Heat Pumps &lt; 11.25 Tons Open Loop Tier 2</t>
  </si>
  <si>
    <t>Geothermal Heat Pumps &lt; 11.25 Tons Direct Exchange (DX) Tier 0</t>
  </si>
  <si>
    <t>Geothermal Heat Pumps &lt; 11.25 Tons Direct Exchange (DX) Tier 1</t>
  </si>
  <si>
    <t>Geothermal Heat Pumps &lt; 11.25 Tons Direct Exchange (DX) Tier 2</t>
  </si>
  <si>
    <t>Geothermal Heat Pumps &lt; 11.25 Tons Closed Loop</t>
  </si>
  <si>
    <t>Geothermal Heat Pumps &lt; 11.25 Tons Open Loop</t>
  </si>
  <si>
    <t>Geothermal Heat Pumps &lt; 11.25 Tons Direct Exchange (DX)</t>
  </si>
  <si>
    <t>Geothermal Heat Pumps &lt; 11.25 Tons Closed Loop Single Package</t>
  </si>
  <si>
    <t>Geothermal Heat Pumps &lt; 11.25 Tons Open Loop Single Package</t>
  </si>
  <si>
    <t>Geothermal Heat Pumps &lt; 11.25 Tons Direct Exchange (DX) Single Package</t>
  </si>
  <si>
    <t>Geothermal Heat Pumps &lt; 11.25 Tons Closed Loop Split System</t>
  </si>
  <si>
    <t>Geothermal Heat Pumps &lt; 11.25 Tons Open Loop Split System</t>
  </si>
  <si>
    <t>Geothermal Heat Pumps &lt; 11.25 Tons Direct Exchange (DX) Split System</t>
  </si>
  <si>
    <t>Updated baseline for geothermal categories (used to calculate energy savings)</t>
  </si>
  <si>
    <t>6.26.12</t>
  </si>
  <si>
    <t>Updated EER max entry value on Customer Inputs sheet to 35</t>
  </si>
  <si>
    <t>Added Lock/Unlock buttons to Development Tab</t>
  </si>
  <si>
    <t>7.10.12</t>
  </si>
  <si>
    <t>Updated Minimums for Geothermal DX Equipment</t>
  </si>
  <si>
    <t>7.11.12</t>
  </si>
  <si>
    <t>Updated Eligiblity Table &amp; Minimums for All Geothermal Equipment</t>
  </si>
  <si>
    <t>7.19.12</t>
  </si>
  <si>
    <t>Added toggle switch between NC and Retrofit sheets</t>
  </si>
  <si>
    <t>Worksheet Name</t>
  </si>
  <si>
    <t>7.23.12</t>
  </si>
  <si>
    <t>Updated toggle switch code</t>
  </si>
  <si>
    <t>Equipment Type (Existing)</t>
  </si>
  <si>
    <t>Equipment Type (New Construction)</t>
  </si>
  <si>
    <t>7.25.12</t>
  </si>
  <si>
    <t>Updated title header</t>
  </si>
  <si>
    <t>7.27.12</t>
  </si>
  <si>
    <t>Fixed Tier 0 lookups for existing unit minimums</t>
  </si>
  <si>
    <t>Existing Unit - Equipment Type</t>
  </si>
  <si>
    <t>Ductless Mini-Split AC &lt; 5.4 Tons All Types</t>
  </si>
  <si>
    <t>Room Air Conditioners &lt; 2.5 Tons All Types</t>
  </si>
  <si>
    <t>7.31.12</t>
  </si>
  <si>
    <t>Updated Existing Equipment Dropdown List</t>
  </si>
  <si>
    <t>Air Conditioners - Air Cooled ≥ 5.4 &amp; &lt; 11.25 Tons Split System Room Air Conditioner</t>
  </si>
  <si>
    <t>Air Conditioners - Air Cooled ≥ 5.4 &amp; &lt; 11.25 Tons Single Package Room Air Conditioner</t>
  </si>
  <si>
    <t>Air Conditioners - Air Cooled ≥ 11.25 &amp; &lt; 20 Tons Split System Room Air Conditioner</t>
  </si>
  <si>
    <t>Air Conditioners - Air Cooled ≥ 11.25 &amp; &lt; 20 Tons Single Package Room Air Conditioner</t>
  </si>
  <si>
    <t>Air Conditioners - Air Cooled ≥ 20 &amp; &lt; 63 Tons Split System Room Air Conditioner</t>
  </si>
  <si>
    <t>Air Conditioners - Air Cooled ≥ 20 &amp; &lt; 63 Tons Single Package Room Air Conditioner</t>
  </si>
  <si>
    <t>Air Conditioners - Air Cooled ≥ 63 Tons Split System Room Air Conditioner</t>
  </si>
  <si>
    <t>Air Conditioners - Air Cooled ≥ 63 Tons Single Package Room Air Conditioner</t>
  </si>
  <si>
    <t>Air Conditioners - Air Cooled ≥ 5.4 &amp; &lt; 11.25 Tons Split System Other</t>
  </si>
  <si>
    <t>Air Conditioners - Air Cooled ≥ 5.4 &amp; &lt; 11.25 Tons Single Package Other</t>
  </si>
  <si>
    <t>Air Conditioners - Air Cooled ≥ 11.25 &amp; &lt; 20 Tons Split System Other</t>
  </si>
  <si>
    <t>Air Conditioners - Air Cooled ≥ 11.25 &amp; &lt; 20 Tons Single Package Other</t>
  </si>
  <si>
    <t>Air Conditioners - Air Cooled ≥ 20 &amp; &lt; 63 Tons Split System Other</t>
  </si>
  <si>
    <t>Air Conditioners - Air Cooled ≥ 20 &amp; &lt; 63 Tons Single Package Other</t>
  </si>
  <si>
    <t>Air Conditioners - Air Cooled ≥ 63 Tons Split System Other</t>
  </si>
  <si>
    <t>Air Conditioners - Air Cooled ≥ 63 Tons Single Package Other</t>
  </si>
  <si>
    <t>Geothermal Heat Pumps &lt; 11.25 Tons Direct Exchange (DX) Other</t>
  </si>
  <si>
    <t>Geothermal Heat Pumps &lt; 11.25 Tons Direct Exchange (DX) Room Air Conditioner</t>
  </si>
  <si>
    <t>Geothermal Heat Pumps &lt; 11.25 Tons Closed Loop Room Air Conditioner</t>
  </si>
  <si>
    <t>Geothermal Heat Pumps &lt; 11.25 Tons Open Loop Room Air Conditioner</t>
  </si>
  <si>
    <t>Geothermal Heat Pumps &lt; 11.25 Tons Closed Loop Other</t>
  </si>
  <si>
    <t>Geothermal Heat Pumps &lt; 11.25 Tons Open Loop Other</t>
  </si>
  <si>
    <t>Updated T0 Reference Table</t>
  </si>
  <si>
    <t>Added Existing Unit Dropdown Lookup Reference Table</t>
  </si>
  <si>
    <t>Removed Existing Unit Dropdown Static Reference Table</t>
  </si>
  <si>
    <t>Condition</t>
  </si>
  <si>
    <t>Installed Cost</t>
  </si>
  <si>
    <t>Material Per Unit</t>
  </si>
  <si>
    <t>Labor Per Unit</t>
  </si>
  <si>
    <t>Total Per Unit</t>
  </si>
  <si>
    <t>Added cost Field to Customer Inputs tab</t>
  </si>
  <si>
    <t>8.27.12</t>
  </si>
  <si>
    <t>Added Application ID to both Customer Inputs and Summary tabs</t>
  </si>
  <si>
    <t>Added Customer Name to Summary tab</t>
  </si>
  <si>
    <t>8.28.12</t>
  </si>
  <si>
    <t>Model</t>
  </si>
  <si>
    <t>Product Quantity</t>
  </si>
  <si>
    <t>Product Name</t>
  </si>
  <si>
    <t>Product Class</t>
  </si>
  <si>
    <t>Product Line</t>
  </si>
  <si>
    <t>BaseLine Row_ID</t>
  </si>
  <si>
    <t>Water Source Heat Pump (Cooling Only) &gt;=17,000</t>
  </si>
  <si>
    <t>Heat Pump</t>
  </si>
  <si>
    <t>Cooling - HVAC Equipment</t>
  </si>
  <si>
    <t>Water Source Heat Pump (Cooling Only) &lt;17,000 Btuh</t>
  </si>
  <si>
    <t>Water Source Heat Pump (Cooling Only)</t>
  </si>
  <si>
    <t>Unitary Heat Pump &gt;=760,000 Btuh and &lt;3,600,000 Btuh</t>
  </si>
  <si>
    <t>Unitary Heat Pump &gt;=65,000 Btuh and &lt;135,000 Btuh</t>
  </si>
  <si>
    <t>Unitary Heat Pump &gt;=240,000 Btuh and &lt;760,000 Btuh</t>
  </si>
  <si>
    <t>Unitary Heat Pump &gt;=135,000 Btuh and &lt;240,000 Btuh</t>
  </si>
  <si>
    <t>Unitary Heat Pump &lt;65,000 Btuh</t>
  </si>
  <si>
    <t>Split Heat Pump &gt;=760,000 Btuh and &lt;3,600,000 Btuh</t>
  </si>
  <si>
    <t>Split Heat Pump &gt;=65,000 Btuh and &lt;135,000 Btuh</t>
  </si>
  <si>
    <t>Split Heat Pump &gt;=240,000 Btuh and &lt;760,000 Btuh</t>
  </si>
  <si>
    <t>Split Heat Pump &gt;=135,000 Btuh and &lt;240,000 Btuh</t>
  </si>
  <si>
    <t>Split Heat Pump &lt;65,000 Btuh</t>
  </si>
  <si>
    <t>Packaged Heat Pump &lt;65,000 Btuh</t>
  </si>
  <si>
    <t>Heat Pump - Split or Packaged - &gt;= 65,000 Btuh</t>
  </si>
  <si>
    <t>Whole Building - HVAC</t>
  </si>
  <si>
    <t>Air Conditioners</t>
  </si>
  <si>
    <t>Unitary A/C &gt;=760,000 Btuh and &lt;3,600,000 Btuh</t>
  </si>
  <si>
    <t>Unitary A/C &gt;=65,000 Btuh and &lt;135,000 Btuh</t>
  </si>
  <si>
    <t>Unitary A/C &gt;=240,000 Btuh and &lt;760,000 Btuh</t>
  </si>
  <si>
    <t>Unitary A/C &gt;=135,000 Btuh and &lt;240,000 Btuh</t>
  </si>
  <si>
    <t>Unitary A/C &lt;65,000 Btuh</t>
  </si>
  <si>
    <t>Split A/C &gt;=760,000 Btuh and &lt;3,600,000 Btuh</t>
  </si>
  <si>
    <t>Split A/C &gt;=65,000 Btuh and &lt;135,000 Btuh</t>
  </si>
  <si>
    <t>Split A/C &gt;=240,000 Btuh and &lt;760,000 Btuh</t>
  </si>
  <si>
    <t>Split A/C &gt;=135,000 Btuh and &lt;240,000 Btuh</t>
  </si>
  <si>
    <t>Split A/C &lt;65,000 Btuh</t>
  </si>
  <si>
    <t>Evaporatively Cooled Unitary Air Conditioner - &gt;=65,000 Btuh and &lt;135,000 Btuh</t>
  </si>
  <si>
    <t>Evaporatively Cooled Unitary Air Conditioner - &gt;=135,000 Btuh</t>
  </si>
  <si>
    <t>Evaporatively Cooled Unitary Air Conditioner - &lt;65,000 Btuh</t>
  </si>
  <si>
    <t>ACR Water Source Heat Pump - HP601</t>
  </si>
  <si>
    <t>ACR Air Cooled Heat Pump Packaged - HP521</t>
  </si>
  <si>
    <t>ACR Air Cooled Heat Pump Split - HP511</t>
  </si>
  <si>
    <t>ACR Air Cooled Heat Pump Packaged - HP421</t>
  </si>
  <si>
    <t>ACR Air Cooled Heat Pump Split - HP411</t>
  </si>
  <si>
    <t>ACR Air Cooled Heat Pump Packaged - HP321</t>
  </si>
  <si>
    <t>ACR Air Cooled Heat Pump Split - HP311</t>
  </si>
  <si>
    <t>Geothermal Heat Pump Direct Geoexchange - GHP302</t>
  </si>
  <si>
    <t>Geothermal Heat Pump Direct Geoexchange - GHP301</t>
  </si>
  <si>
    <t>ACR Geothermal Heat Pump Direct Geoexchange - GHP300</t>
  </si>
  <si>
    <t>ACR Air Cooled Heat Pump Packaged - HP222</t>
  </si>
  <si>
    <t>ACR Air Cooled Heat Pump Packaged - HP221</t>
  </si>
  <si>
    <t>ACR Air Cooled Heat Pump Split - HP212</t>
  </si>
  <si>
    <t>ACR Air Cooled Heat Pump Split - HP211</t>
  </si>
  <si>
    <t>Geothermal Heat Pump Open Loop - GHP202</t>
  </si>
  <si>
    <t>Geothermal Heat Pump Open Loop - GHP201</t>
  </si>
  <si>
    <t>ACR Geothermal Heat Pump Open Loop - GHP200</t>
  </si>
  <si>
    <t>Geothermal Heat Pump Closed Loop - GHP102</t>
  </si>
  <si>
    <t>ACR Ductless Mini-Split Heat Pump - HP102</t>
  </si>
  <si>
    <t>Geothermal Heat Pump Closed Loop - GHP101</t>
  </si>
  <si>
    <t>ACR Ductless Mini-Split Heat Pump - HP101</t>
  </si>
  <si>
    <t>ACR Geothermal Heat Pump Closed Loop - GHP100</t>
  </si>
  <si>
    <t>ACR Ductless Mini-Split Heat Pump - HP100</t>
  </si>
  <si>
    <t>ACR Evaporatively Cooled AC Packaged - AC821</t>
  </si>
  <si>
    <t>ACR Evaporatively Cooled AC Split - AC811</t>
  </si>
  <si>
    <t>ACR Air Cooled AC Packaged - AC722</t>
  </si>
  <si>
    <t>ACR Air Cooled AC Packaged - AC721</t>
  </si>
  <si>
    <t>ACR Air Cooled AC Packaged - AC720</t>
  </si>
  <si>
    <t>ACR Air Cooled AC Split - AC712</t>
  </si>
  <si>
    <t>ACR Air Cooled AC Split - AC711</t>
  </si>
  <si>
    <t>ACR Air Cooled AC Split - AC710</t>
  </si>
  <si>
    <t>ACR Air Cooled AC Packaged - AC622</t>
  </si>
  <si>
    <t>ACR Air Cooled AC Packaged - AC621</t>
  </si>
  <si>
    <t>ACR Air Cooled AC Packaged - AC620</t>
  </si>
  <si>
    <t>ACR Air Cooled AC Split - AC612</t>
  </si>
  <si>
    <t>ACR Air Cooled AC Split - AC611</t>
  </si>
  <si>
    <t>ACR Air Cooled AC Split - AC610</t>
  </si>
  <si>
    <t>ACR Air Cooled AC Packaged - AC522</t>
  </si>
  <si>
    <t>ACR Air Cooled AC Packaged - AC521</t>
  </si>
  <si>
    <t>ACR Air Cooled AC Packaged - AC520</t>
  </si>
  <si>
    <t>ACR Air Cooled AC Split - AC512</t>
  </si>
  <si>
    <t>ACR Air Cooled AC Split - AC511</t>
  </si>
  <si>
    <t>ACR Air Cooled AC Split - AC510</t>
  </si>
  <si>
    <t>ACR Air Cooled AC Packaged - AC422</t>
  </si>
  <si>
    <t>ACR Air Cooled AC Packaged - AC421</t>
  </si>
  <si>
    <t>ACR Air Cooled AC Packaged - AC420</t>
  </si>
  <si>
    <t>ACR Air Cooled AC Split - AC412</t>
  </si>
  <si>
    <t>ACR Air Cooled AC Split - AC411</t>
  </si>
  <si>
    <t>ACR Packaged Air Conditioner - AC410</t>
  </si>
  <si>
    <t>ACR Packaged Air Conditioner - AC400</t>
  </si>
  <si>
    <t>ACR Air Cooled AC Packaged - AC322</t>
  </si>
  <si>
    <t>ACR Air Cooled AC Packaged - AC321</t>
  </si>
  <si>
    <t>ACR Air Cooled AC Packaged - AC320</t>
  </si>
  <si>
    <t>ACR Air Cooled AC Split - AC312</t>
  </si>
  <si>
    <t>ACR Air Cooled AC Split - AC311</t>
  </si>
  <si>
    <t>ACR Air Cooled AC Split - AC310</t>
  </si>
  <si>
    <t>ACR Small Commercial Split - AC300</t>
  </si>
  <si>
    <t>ACR Ductless Mini-Split AC - AC202</t>
  </si>
  <si>
    <t>ACR Ductless Mini-Split AC - AC201</t>
  </si>
  <si>
    <t>ACR Ductless Mini Split - AC200</t>
  </si>
  <si>
    <t>ACR Room Air Conditioners - AC100</t>
  </si>
  <si>
    <t>Program Year</t>
  </si>
  <si>
    <t>10.18.12</t>
  </si>
  <si>
    <t>Created HVAC Types tab and ProposedEquipment0 tab</t>
  </si>
  <si>
    <t>Linked Version Number, Program Year and Program Name in headers to Development tab</t>
  </si>
  <si>
    <t>2013 - 1.0</t>
  </si>
  <si>
    <t>2012 - 1.00</t>
  </si>
  <si>
    <t>2012 - 1.0</t>
  </si>
  <si>
    <t>2012 - 1.1</t>
  </si>
  <si>
    <t>2012 - 1.2</t>
  </si>
  <si>
    <t>2012 - 1.3</t>
  </si>
  <si>
    <t>2012 - 1.4</t>
  </si>
  <si>
    <t>Restarted Numbering for New Year</t>
  </si>
  <si>
    <t>Fixed Object Movement problem on front page</t>
  </si>
  <si>
    <t>Updated HVAC Inventory name (affected Clear All Inputs)</t>
  </si>
  <si>
    <t>Combined</t>
  </si>
  <si>
    <t>kWh per Unit</t>
  </si>
  <si>
    <t>Total Combined</t>
  </si>
  <si>
    <t>Cooling</t>
  </si>
  <si>
    <t>Heating</t>
  </si>
  <si>
    <t>kW per Unit</t>
  </si>
  <si>
    <t>Made Cost data required fields</t>
  </si>
  <si>
    <t>Added note "Cost data required" to Customer inputs sheet</t>
  </si>
  <si>
    <t>12.12.12</t>
  </si>
  <si>
    <t>2.0</t>
  </si>
  <si>
    <t>Increased all rebate levels; updated eligibility table and references tab</t>
  </si>
  <si>
    <t>Changed version number</t>
  </si>
  <si>
    <t>4.24.13</t>
  </si>
  <si>
    <t>4.25.13</t>
  </si>
  <si>
    <t>Added "Limited time only" banner to eligibility table</t>
  </si>
  <si>
    <t>Edits made to eligibility table, heading text will change in Tier I &amp; II columns depending on NC or EB toggle</t>
  </si>
  <si>
    <t>4.30.13</t>
  </si>
  <si>
    <t>Instructions</t>
  </si>
  <si>
    <t>2.2</t>
  </si>
  <si>
    <t>Correction made to summary tab, kW savings were being double counted when the same device was used on multiple lines.</t>
  </si>
  <si>
    <t>7.25.13</t>
  </si>
  <si>
    <t>Version changed to 2.2</t>
  </si>
  <si>
    <t>Effective Date :</t>
  </si>
  <si>
    <t>Correction made to summary tab, kWh savings were being double counted when the same device was used on multiple lines.</t>
  </si>
  <si>
    <t>8.1.13</t>
  </si>
  <si>
    <t>2.1</t>
  </si>
  <si>
    <t>Modified Summary results for specific TRC project, The Rinx project</t>
  </si>
  <si>
    <t>Edited the reference to manufacturer on the Proposed 0 which was previously pointing to model</t>
  </si>
  <si>
    <t>3.0</t>
  </si>
  <si>
    <t>Changed version number and effective date to 3.0, 9/1/13</t>
  </si>
  <si>
    <t>8.16.13</t>
  </si>
  <si>
    <t>1.0</t>
  </si>
  <si>
    <t>Commercial Efficiency Program</t>
  </si>
  <si>
    <t>Changed version number to 1.0, year to 2014 and start date to 10.1.13</t>
  </si>
  <si>
    <t>Changed incentive amounts back to what they were prior to stimulus HVAC tab</t>
  </si>
  <si>
    <t>Changed password to monkey</t>
  </si>
  <si>
    <t xml:space="preserve">Removed all Not for Profit references </t>
  </si>
  <si>
    <t xml:space="preserve">Removed reference to Stimulus </t>
  </si>
  <si>
    <t>9.24.13</t>
  </si>
  <si>
    <t>4.0</t>
  </si>
  <si>
    <t>Added text "Projects must be completed by 3/31/14 to Eligibility Table</t>
  </si>
  <si>
    <t>Changed Version number to 4.0 and program year back to 2013</t>
  </si>
  <si>
    <t>9.26.13</t>
  </si>
  <si>
    <t>Elec Util Cust Incentive</t>
  </si>
  <si>
    <t>Added field, "Elec Util Cust Incentive"  to ProposeEquipment0 tab to import rebate amounts.</t>
  </si>
  <si>
    <t>10.17.13</t>
  </si>
  <si>
    <t>Corrected error on Customer Inputs tab, formula in row 32, column x had been deleted.  Formula has been added back in.</t>
  </si>
  <si>
    <t>11.21.13</t>
  </si>
  <si>
    <t>$/kW</t>
  </si>
  <si>
    <t>Total Calculated Rebate :</t>
  </si>
  <si>
    <t xml:space="preserve">       Air Conditioning and Heat Pump Eligibility Tables</t>
  </si>
  <si>
    <t>12.12.13</t>
  </si>
  <si>
    <t>Removed Color Change Macros for Existing vs. New Construction</t>
  </si>
  <si>
    <t>Cell Fill Effects, Cell Color Backgrounds, and Text Color changed on Instruction, Inputs, Summary, and Eligibility Table</t>
  </si>
  <si>
    <t>Incentive Per Unit</t>
  </si>
  <si>
    <t>Changed PSEGLI logo to PSEG logo</t>
  </si>
  <si>
    <r>
      <t xml:space="preserve">All cells with </t>
    </r>
    <r>
      <rPr>
        <u/>
        <sz val="12"/>
        <rFont val="Arial Narrow"/>
        <family val="2"/>
      </rPr>
      <t>gray</t>
    </r>
    <r>
      <rPr>
        <sz val="12"/>
        <rFont val="Arial Narrow"/>
        <family val="2"/>
      </rPr>
      <t xml:space="preserve"> backgrounds in a row must be filled out. </t>
    </r>
  </si>
  <si>
    <t>Cells requiring input are shaded with a gray background.  Cells with white background are locked for automated population.</t>
  </si>
  <si>
    <t>Changed Manufacturer and model number cells to gray for customer input</t>
  </si>
  <si>
    <t xml:space="preserve">Added logic to limit rebates to a maximum of $2,500/kW </t>
  </si>
  <si>
    <t>12.13.13</t>
  </si>
  <si>
    <t>Project Summary</t>
  </si>
  <si>
    <t>Total kW Savings:</t>
  </si>
  <si>
    <t>Total kWh Savings:</t>
  </si>
  <si>
    <t>Added rebate cap of 70% of installed cost</t>
  </si>
  <si>
    <t>12.26.13</t>
  </si>
  <si>
    <t>1.2</t>
  </si>
  <si>
    <t>Corrected Total Expected Rebate field on Customer Inputs tab.  Calculation did not account for multiple units per line or multiple lines.</t>
  </si>
  <si>
    <t>Changed PSEGLI to PSEG Long Island throughout workbook</t>
  </si>
  <si>
    <t>4.10.14</t>
  </si>
  <si>
    <t>Corrected LOOKUP on ProposedEquipment0 tab; reference table was not sorted properly resulting in incorrect Product Names, issue has been corrected</t>
  </si>
  <si>
    <t>Edited Conditional Formatting for Ductless Mini-Split Heat Pumps that are replaceing Room AC, SEER, HSPF and COP will now be grayed out on for Existing Equipment</t>
  </si>
  <si>
    <t>Changed version to 2.0</t>
  </si>
  <si>
    <t>6.10.14</t>
  </si>
  <si>
    <t>10.10.14</t>
  </si>
  <si>
    <t>Changed version to 1.0 and program year to 2015</t>
  </si>
  <si>
    <t>IM</t>
  </si>
  <si>
    <t>Increased rebate amount from $300 to $450 on AC310 &amp; AC320</t>
  </si>
  <si>
    <t>Increased rebate amount from $400 to $500 on AC410 &amp; AC420</t>
  </si>
  <si>
    <t>3.25.15</t>
  </si>
  <si>
    <t>Eligibility Requirements</t>
  </si>
  <si>
    <t>Equipment Cost</t>
  </si>
  <si>
    <t>Labor Cost</t>
  </si>
  <si>
    <t>Total Cost</t>
  </si>
  <si>
    <t>Coincidence Factor</t>
  </si>
  <si>
    <t>Free Ridership</t>
  </si>
  <si>
    <t>Spillover</t>
  </si>
  <si>
    <t>Line Loss kW Summer</t>
  </si>
  <si>
    <t>Line Loss kWh</t>
  </si>
  <si>
    <t>Application ID</t>
  </si>
  <si>
    <t>Row Number</t>
  </si>
  <si>
    <t>Baseline SEER</t>
  </si>
  <si>
    <t>Baseline EER</t>
  </si>
  <si>
    <t>Baseline HSPF</t>
  </si>
  <si>
    <t>Baseline COP</t>
  </si>
  <si>
    <t>Gross Savings Per Unit - kW</t>
  </si>
  <si>
    <t>Gross Savings Per Unit - kWh</t>
  </si>
  <si>
    <t>Net Per Unit kW</t>
  </si>
  <si>
    <t>Net Per Unit kWh</t>
  </si>
  <si>
    <t>full load heating hours</t>
  </si>
  <si>
    <t>full load cooling hours</t>
  </si>
  <si>
    <t>Location</t>
  </si>
  <si>
    <t>Proposed/Installed SEER</t>
  </si>
  <si>
    <t>Proposed/Installed EER</t>
  </si>
  <si>
    <t>Proposed/Installed HSPF</t>
  </si>
  <si>
    <t>Proposed/Installed COP</t>
  </si>
  <si>
    <t>Operating Hours</t>
  </si>
  <si>
    <t>≥ 20 Tons</t>
  </si>
  <si>
    <t>Multisplit System</t>
  </si>
  <si>
    <t>Variable Refrigerant Flow Multisplit Heat Pumps</t>
  </si>
  <si>
    <t>VRF Water Source (Heating Mode)</t>
  </si>
  <si>
    <r>
      <t>68</t>
    </r>
    <r>
      <rPr>
        <sz val="10"/>
        <rFont val="Calibri"/>
        <family val="2"/>
      </rPr>
      <t>°</t>
    </r>
    <r>
      <rPr>
        <sz val="9"/>
        <rFont val="Arial Narrow"/>
        <family val="2"/>
      </rPr>
      <t xml:space="preserve"> Entering Water</t>
    </r>
  </si>
  <si>
    <t>4.6 COP</t>
  </si>
  <si>
    <t xml:space="preserve">Multisplit System </t>
  </si>
  <si>
    <t>VRF Water Source Heat Pumps</t>
  </si>
  <si>
    <t>VRF Air Cooled Heat Pumps</t>
  </si>
  <si>
    <t>VRF Air Cooled</t>
  </si>
  <si>
    <t>VRF Water Source</t>
  </si>
  <si>
    <t>VRF Air Cooled Heat Pumps &lt; 5.4 Tons Multisplit System</t>
  </si>
  <si>
    <t>VRF Air Cooled Heat Pumps ≥ 5.4 &amp; &lt; 11.25 Tons Multisplit System</t>
  </si>
  <si>
    <t>VRF Air Cooled Heat Pumps ≥ 11.25 &amp; &lt; 20 Tons Multisplit System</t>
  </si>
  <si>
    <t>VRF Air Cooled Heat Pumps ≥ 20 Tons Multisplit System</t>
  </si>
  <si>
    <t>VRF Water Source Heat Pumps &lt; 11.25 Tons Multisplit System</t>
  </si>
  <si>
    <t>VRF Air Cooled Heat Pumps &lt; 5.4 Tons Multisplit System Tier 1</t>
  </si>
  <si>
    <t>VRF Air Cooled Heat Pumps ≥ 5.4 &amp; &lt; 11.25 Tons Multisplit System Tier 1</t>
  </si>
  <si>
    <t>VRF Air Cooled Heat Pumps ≥ 11.25 &amp; &lt; 20 Tons Multisplit System Tier 1</t>
  </si>
  <si>
    <t>VRF Air Cooled Heat Pumps ≥ 20 Tons Multisplit System Tier 1</t>
  </si>
  <si>
    <t>VRF Water Source Heat Pumps &lt; 11.25 Tons Multisplit System Tier 1</t>
  </si>
  <si>
    <t>VRF Air Cooled Heat Pumps &lt; 5.4 Tons Multisplit System Tier 2</t>
  </si>
  <si>
    <t>VHP211</t>
  </si>
  <si>
    <t>VHP212</t>
  </si>
  <si>
    <t>VHP311</t>
  </si>
  <si>
    <t>VHP321</t>
  </si>
  <si>
    <t>VHP411</t>
  </si>
  <si>
    <t>VHP421</t>
  </si>
  <si>
    <t>Application Version:</t>
  </si>
  <si>
    <t>Effective:</t>
  </si>
  <si>
    <t>1.1</t>
  </si>
  <si>
    <t>Corrected Summary tab to include new VRF measures</t>
  </si>
  <si>
    <t>Defined Named Range for all data to be imported into Captures</t>
  </si>
  <si>
    <t>11.25.15.</t>
  </si>
  <si>
    <t>11.25.15</t>
  </si>
  <si>
    <t>Confirmation</t>
  </si>
  <si>
    <t>Inspector Name:</t>
  </si>
  <si>
    <t>Signature :</t>
  </si>
  <si>
    <t>Inspector Company Name:</t>
  </si>
  <si>
    <t>Date:</t>
  </si>
  <si>
    <t>Building Type:</t>
  </si>
  <si>
    <t>Customer Name:</t>
  </si>
  <si>
    <t>Customer Signature:</t>
  </si>
  <si>
    <t>Pre Inspection</t>
  </si>
  <si>
    <t>Unit ID</t>
  </si>
  <si>
    <t>Unit Size</t>
  </si>
  <si>
    <t>Qty.</t>
  </si>
  <si>
    <t>Model No.</t>
  </si>
  <si>
    <t>Serial No.</t>
  </si>
  <si>
    <t>Verified</t>
  </si>
  <si>
    <t>Images</t>
  </si>
  <si>
    <t>Post Inspection</t>
  </si>
  <si>
    <t>Added Inspection Form</t>
  </si>
  <si>
    <t>Updated effective date to 6.15.16 and version number to 2.0</t>
  </si>
  <si>
    <t>5.11.16</t>
  </si>
  <si>
    <t xml:space="preserve">City, State, Zip: </t>
  </si>
  <si>
    <t>Workbook Name</t>
  </si>
  <si>
    <t>Increased Geothermal Incentive amounts</t>
  </si>
  <si>
    <t>6.17.16</t>
  </si>
  <si>
    <t>IEER</t>
  </si>
  <si>
    <t>IEER/SEER</t>
  </si>
  <si>
    <t>SEER/IEER</t>
  </si>
  <si>
    <t>Packaged Terminal Air Conditioners</t>
  </si>
  <si>
    <t>Packaged Terminal Heat Pumps</t>
  </si>
  <si>
    <t>&lt; 0.75 tons</t>
  </si>
  <si>
    <t>&lt; 0.75 Tons</t>
  </si>
  <si>
    <t>Packaged Terminal Air Conditioners (PTAC)</t>
  </si>
  <si>
    <t>12.2 EER</t>
  </si>
  <si>
    <t>PTAC101</t>
  </si>
  <si>
    <r>
      <rPr>
        <u/>
        <sz val="11"/>
        <rFont val="Arial Narrow"/>
        <family val="2"/>
      </rPr>
      <t>&gt;</t>
    </r>
    <r>
      <rPr>
        <sz val="11"/>
        <rFont val="Arial Narrow"/>
        <family val="2"/>
      </rPr>
      <t xml:space="preserve"> 0.75 Tons &amp; &lt; 1 Ton</t>
    </r>
  </si>
  <si>
    <t>11.4 EER</t>
  </si>
  <si>
    <t>PTAC201</t>
  </si>
  <si>
    <r>
      <rPr>
        <u/>
        <sz val="11"/>
        <rFont val="Arial Narrow"/>
        <family val="2"/>
      </rPr>
      <t>&gt;</t>
    </r>
    <r>
      <rPr>
        <sz val="11"/>
        <rFont val="Arial Narrow"/>
        <family val="2"/>
      </rPr>
      <t xml:space="preserve"> 1 Ton</t>
    </r>
  </si>
  <si>
    <t>PTAC301</t>
  </si>
  <si>
    <t>16.0 SEER
13.0 EER</t>
  </si>
  <si>
    <t>16.0 SEER
12.0 EER</t>
  </si>
  <si>
    <t>Packaged Terminal Heat Pumps (PTHPs)</t>
  </si>
  <si>
    <t>12.2 EER
3.5 COP</t>
  </si>
  <si>
    <t>PTHP101</t>
  </si>
  <si>
    <r>
      <rPr>
        <u/>
        <sz val="11"/>
        <rFont val="Arial Narrow"/>
        <family val="2"/>
      </rPr>
      <t>&gt;</t>
    </r>
    <r>
      <rPr>
        <sz val="11"/>
        <rFont val="Arial Narrow"/>
        <family val="2"/>
      </rPr>
      <t xml:space="preserve"> 0.75 tons &amp;
&lt; 1 ton</t>
    </r>
  </si>
  <si>
    <t>11.4 EER
3.3 COP</t>
  </si>
  <si>
    <t>PTHP201</t>
  </si>
  <si>
    <r>
      <rPr>
        <u/>
        <sz val="11"/>
        <rFont val="Arial Narrow"/>
        <family val="2"/>
      </rPr>
      <t>&gt;</t>
    </r>
    <r>
      <rPr>
        <sz val="11"/>
        <rFont val="Arial Narrow"/>
        <family val="2"/>
      </rPr>
      <t xml:space="preserve"> 1 ton</t>
    </r>
  </si>
  <si>
    <t>10.4 EER
3.1 COP</t>
  </si>
  <si>
    <t>PTHP301</t>
  </si>
  <si>
    <t>15.0 SEER
12.5 EER
8.5 HSPF</t>
  </si>
  <si>
    <t>15.0 SEER
12.0 EER
8.2 HSPF</t>
  </si>
  <si>
    <t>Packaged Terminal Heat Pumps ≥ 1 Tons All Types</t>
  </si>
  <si>
    <t>EER, SEER or IEER</t>
  </si>
  <si>
    <t>EER only</t>
  </si>
  <si>
    <t>EER, SEER or IEER and COP</t>
  </si>
  <si>
    <t>EER, SEER or IEER and HSPF</t>
  </si>
  <si>
    <t>EER and COP</t>
  </si>
  <si>
    <t>Key:</t>
  </si>
  <si>
    <t>ACR Packaged Termincal AC - PTAC101</t>
  </si>
  <si>
    <t>ACR Packaged Termincal AC - PTAC201</t>
  </si>
  <si>
    <t>ACR Packaged Termincal AC - PTAC301</t>
  </si>
  <si>
    <t>ACR Packaged Terminal Heat Pump - PTHP101</t>
  </si>
  <si>
    <t>ACR Packaged Terminal Heat Pump - PTHP201</t>
  </si>
  <si>
    <t>ACR Packaged Terminal Heat Pump - PTHP301</t>
  </si>
  <si>
    <t>Proposed criteria</t>
  </si>
  <si>
    <t>Existing Criteria</t>
  </si>
  <si>
    <t>The Commercial Efficiency Program offers rebates to commercial, industrial, institutional, educational, municipal or multi-family building customers who install qualifying energy efficient equipment.  Rebates require pre-approval.</t>
  </si>
  <si>
    <t>Customer Information</t>
  </si>
  <si>
    <t>Account No:</t>
  </si>
  <si>
    <t>Rate Code:</t>
  </si>
  <si>
    <t>Account Name:</t>
  </si>
  <si>
    <t>Tax ID #:</t>
  </si>
  <si>
    <t>Facility Address:</t>
  </si>
  <si>
    <t>City:</t>
  </si>
  <si>
    <t>Zip:</t>
  </si>
  <si>
    <r>
      <t xml:space="preserve">Mailing Address:
</t>
    </r>
    <r>
      <rPr>
        <b/>
        <sz val="9"/>
        <color indexed="8"/>
        <rFont val="Arial Narrow"/>
        <family val="2"/>
      </rPr>
      <t>(If different than above)</t>
    </r>
  </si>
  <si>
    <t>DBA:</t>
  </si>
  <si>
    <t>Business Phone:</t>
  </si>
  <si>
    <t>Contact Name/Title:</t>
  </si>
  <si>
    <t>Cell Phone:</t>
  </si>
  <si>
    <t>E-Mail Address:</t>
  </si>
  <si>
    <t>Fax:</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</si>
  <si>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</si>
  <si>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</si>
  <si>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Contractor Information</t>
  </si>
  <si>
    <t>Contractor Name:</t>
  </si>
  <si>
    <t>Contractor Address:</t>
  </si>
  <si>
    <t>Enter Total Estimated Rebate Amount (Calculated on appropriate worksheet):</t>
  </si>
  <si>
    <t>$</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</si>
  <si>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</si>
  <si>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Customer Name:
(Print)</t>
  </si>
  <si>
    <r>
      <t xml:space="preserve">Customer Signature:
</t>
    </r>
    <r>
      <rPr>
        <b/>
        <i/>
        <sz val="8"/>
        <color indexed="8"/>
        <rFont val="Arial Narrow"/>
        <family val="2"/>
      </rPr>
      <t>Duly authorized representative</t>
    </r>
  </si>
  <si>
    <t>Project Type:</t>
  </si>
  <si>
    <t>Added Customer Information tab</t>
  </si>
  <si>
    <t>Updated Customer information tab with new effective date of 12.1.16 and version number</t>
  </si>
  <si>
    <t>Removed Application Type from Customer Info tab</t>
  </si>
  <si>
    <t>Added Project Type to Customer Info tab</t>
  </si>
  <si>
    <t>Added PTAC and PTHP units</t>
  </si>
  <si>
    <t>Updated all efficiency requirements and baselines</t>
  </si>
  <si>
    <t>Baselines are from ASHRAE 90.1 2013</t>
  </si>
  <si>
    <t>Added SEER and IEER to the eligibilty table</t>
  </si>
  <si>
    <t>Made IEER or SEER required where applicable</t>
  </si>
  <si>
    <t>Added size cap of 63 tons</t>
  </si>
  <si>
    <t>10.28.16</t>
  </si>
  <si>
    <t>11.18.16</t>
  </si>
  <si>
    <t>MVG</t>
  </si>
  <si>
    <r>
      <t>*Using 47</t>
    </r>
    <r>
      <rPr>
        <sz val="10"/>
        <color indexed="8"/>
        <rFont val="Calibri"/>
        <family val="2"/>
      </rPr>
      <t>°</t>
    </r>
    <r>
      <rPr>
        <sz val="10"/>
        <color indexed="8"/>
        <rFont val="Arial Narrow"/>
        <family val="2"/>
      </rPr>
      <t>F DB / 43</t>
    </r>
    <r>
      <rPr>
        <sz val="10"/>
        <color indexed="8"/>
        <rFont val="Calibri"/>
        <family val="2"/>
      </rPr>
      <t>°</t>
    </r>
    <r>
      <rPr>
        <sz val="10"/>
        <color indexed="8"/>
        <rFont val="Arial Narrow"/>
        <family val="2"/>
      </rPr>
      <t>F WB</t>
    </r>
  </si>
  <si>
    <t>11.21.16</t>
  </si>
  <si>
    <t>Update baseline based on ASHRAE 90.1-2013 (Air Conditioner, Air Cooled &lt;5.4 tons Single Package)</t>
  </si>
  <si>
    <t>Update baseline based on ASHRAE 90.1-2013 (VRF Air Cooled Heat Pumps ≥ 5.4 &amp; &lt; 11.25 Tons Multisplit System)</t>
  </si>
  <si>
    <t>Update baseline based on ASHRAE 90.1-2013 (VRF Air Cooled Heat Pumps ≥ 11.25 &amp; &lt; 20 Tons Multisplit System)</t>
  </si>
  <si>
    <t>Update baseline based on ASHRAE 90.1-2013 (VRF Air Cooled Heat Pumps ≥ 20 Tons Multisplit System)</t>
  </si>
  <si>
    <t>Update baseline based on ASHRAE 90.1-2013 (Geothermal Heat Pumps &lt; 11.25 Tons Closed Loop)</t>
  </si>
  <si>
    <t>Update baseline based on ASHRAE 90.1-2013 (Geothermal Heat Pumps &lt; 11.25 Tons Open Loop)</t>
  </si>
  <si>
    <t>Update baseline based on ASHRAE 90.1-2013 (Geothermal Heat Pumps &lt; 11.25 Tons Direct Exchange (DX))</t>
  </si>
  <si>
    <r>
      <t>Adjusted EERs of products whose baseline uses only SEER.  Used formula, EER = -0.02*SEER</t>
    </r>
    <r>
      <rPr>
        <vertAlign val="superscript"/>
        <sz val="12"/>
        <color indexed="8"/>
        <rFont val="Arial Narrow"/>
        <family val="2"/>
      </rPr>
      <t>2</t>
    </r>
    <r>
      <rPr>
        <sz val="12"/>
        <color indexed="8"/>
        <rFont val="Arial Narrow"/>
        <family val="2"/>
      </rPr>
      <t xml:space="preserve"> + 1.12*SEER</t>
    </r>
  </si>
  <si>
    <t>Adjusted Tier 0 minimum requirements to match eligibility table (includes adding SEER/IEER requirements)</t>
  </si>
  <si>
    <t>Removed VRF from Tier 0</t>
  </si>
  <si>
    <t>Adjusted Heat Pump proposed efficiencies to follow CEE Tiers for "All Other" heating section instead of "Electric Resistence (None)" to match baseline</t>
  </si>
  <si>
    <t>Adjusted proposed efficiencies of Ductless Mini-Splits to match with Air Cooled AC/HP &lt;5.4 ton Split System requirements since there is no CEE tier</t>
  </si>
  <si>
    <t>Made references to Customer Information page to fill out Customer Inputs general information section and stopped the Clear Inputs button from clearing those contents.</t>
  </si>
  <si>
    <t>Updated conditional formatting on Existing Equipment "SEER/IEER" column to allow for value to be entered on AC units less than 5.4 tons. Also added "(If Available)", since this is not a required field but we will use the value if it is provided</t>
  </si>
  <si>
    <t>Updated version number to draft_1.1</t>
  </si>
  <si>
    <t>draft_1.1</t>
  </si>
  <si>
    <t>Updated effective date to 1.01.17</t>
  </si>
  <si>
    <t>12.2.16</t>
  </si>
  <si>
    <t>draft_1.2</t>
  </si>
  <si>
    <t>Adjusted PTAC &amp; PTCHP size categories</t>
  </si>
  <si>
    <t>12.13.16</t>
  </si>
  <si>
    <t>Updated version number to draft_1.2</t>
  </si>
  <si>
    <t>12.15.16</t>
  </si>
  <si>
    <t xml:space="preserve">Enter account, customer, building, and contractor information in the Customer Information tab.  </t>
  </si>
  <si>
    <t>All</t>
  </si>
  <si>
    <t>1.6.17</t>
  </si>
  <si>
    <t>Updated conditional formatting on existing equipment based on existing criteria in references tab</t>
  </si>
  <si>
    <t>Added PTACs and PTHPs to new construction</t>
  </si>
  <si>
    <t>draft_1.3</t>
  </si>
  <si>
    <t>1.25.17</t>
  </si>
  <si>
    <t>All cells with dark gray backgrounds are not applicable to the particular equipment type selected and are to be left blank.</t>
  </si>
  <si>
    <t>The Equipment Status cell will evaluate to PASS or FAIL once you enter information.  If the cell evaluates to FAIL, then either the existing equipment type does not qualify, the size category does not meet the specified range, or the proposed and/or existing efficiencies do not meet program requirements.  Check the input data for accuracy.</t>
  </si>
  <si>
    <t>Total Estimated Rebate:</t>
  </si>
  <si>
    <t>1.9.17</t>
  </si>
  <si>
    <t>Changed wording to Instruction tab step two, fourth bullet to "dark gray"</t>
  </si>
  <si>
    <t>Updated "Equip. Status" to "Equipment Status" on Customer Inputs and Instructions tab.</t>
  </si>
  <si>
    <t>Equipment Status</t>
  </si>
  <si>
    <t>Re-named "Total Expected Rebate Amount" to "Total Estimated Rebate Amount" on Customer Inputs tab as per Walter's request</t>
  </si>
  <si>
    <t>Unfroze panes on "Eligibility Tab"</t>
  </si>
  <si>
    <t>draft_1.4</t>
  </si>
  <si>
    <t>1.10.17</t>
  </si>
  <si>
    <t>Updated version to 1.0</t>
  </si>
  <si>
    <t>1.24.17</t>
  </si>
  <si>
    <t>Added coding to CommandButton1_Click macro to keep button size consistent</t>
  </si>
  <si>
    <t>Added coding to checkbox1_Click macro to keep checkbox size consistent</t>
  </si>
  <si>
    <t>Removed SEER baseline for codes AC811/AC821</t>
  </si>
  <si>
    <t xml:space="preserve">       Terms and Conditions</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</si>
  <si>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</si>
  <si>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</si>
  <si>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</si>
  <si>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</si>
  <si>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</si>
  <si>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</si>
  <si>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</si>
  <si>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</si>
  <si>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</si>
  <si>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</si>
  <si>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</si>
  <si>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</si>
  <si>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</si>
  <si>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</si>
  <si>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</si>
  <si>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</si>
  <si>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 </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</si>
  <si>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</si>
  <si>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</si>
  <si>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</si>
  <si>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</si>
  <si>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</si>
  <si>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</si>
  <si>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</si>
  <si>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</si>
  <si>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</si>
  <si>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</si>
  <si>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</si>
  <si>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</si>
  <si>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</si>
  <si>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</si>
  <si>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</si>
  <si>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</si>
  <si>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</si>
  <si>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</si>
  <si>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</si>
  <si>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</si>
  <si>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</si>
  <si>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</si>
  <si>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</si>
  <si>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</si>
  <si>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</si>
  <si>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</si>
  <si>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</si>
  <si>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</si>
  <si>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</si>
  <si>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</si>
  <si>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</si>
  <si>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</si>
  <si>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</si>
  <si>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</si>
  <si>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</si>
  <si>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</si>
  <si>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</si>
  <si>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</si>
  <si>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</si>
  <si>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</si>
  <si>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</si>
  <si>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</si>
  <si>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</si>
  <si>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</si>
  <si>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</si>
  <si>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</si>
  <si>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</si>
  <si>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</si>
  <si>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</si>
  <si>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</si>
  <si>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</si>
  <si>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</si>
  <si>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</si>
  <si>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</si>
  <si>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</si>
  <si>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</si>
  <si>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</si>
  <si>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</si>
  <si>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</si>
  <si>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</si>
  <si>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</si>
  <si>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</si>
  <si>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</si>
  <si>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</si>
  <si>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 xml:space="preserve">       Guidelines</t>
  </si>
  <si>
    <t>Rebate Guidelines</t>
  </si>
  <si>
    <t>*</t>
  </si>
  <si>
    <t>Pre-approval is required.</t>
  </si>
  <si>
    <t>Pre-inspection is required for all buildings. If there is no existing building (vacant lot) pre-inspection will not be required.</t>
  </si>
  <si>
    <t>All projects are subject to Post-inspection.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</si>
  <si>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</si>
  <si>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</si>
  <si>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</si>
  <si>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</si>
  <si>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</si>
  <si>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</si>
  <si>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appropriate worksheets.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</si>
  <si>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</si>
  <si>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</si>
  <si>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</si>
  <si>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Each required document must be a separate file (no zipped files)</t>
  </si>
  <si>
    <t>For hardcopy submissions:  PSEG Long Island CEP, 395 North Service Rd, Suite 409, Melville, NY 11747</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</si>
  <si>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</si>
  <si>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</si>
  <si>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</si>
  <si>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</si>
  <si>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</si>
  <si>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</si>
  <si>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If the proposed equipment is not listed in the eligibility table, refer to the Custom/Custom Retrofit Eligibility requirements and documentation and contact a PSEG Long Island Representative or PSEG Long Island's Infoline at 1-800-692-2626.  Rebate eligibility and amount will be calculated on a case by case basis. </t>
  </si>
  <si>
    <t>All eligibility requirements and deadlines apply.  See the Eligibility Table tab for a comprehensive list of these requirements.</t>
  </si>
  <si>
    <t xml:space="preserve">        Required Documents Check Sheet          </t>
  </si>
  <si>
    <t>Required Documents for All Projects</t>
  </si>
  <si>
    <t>Document:</t>
  </si>
  <si>
    <t>Responsible Party</t>
  </si>
  <si>
    <t>Deliverable Timeline</t>
  </si>
  <si>
    <t>Customer</t>
  </si>
  <si>
    <t>Pre-Installation</t>
  </si>
  <si>
    <t>Customer/Applicant</t>
  </si>
  <si>
    <t>PSEG Long Island Project Manager</t>
  </si>
  <si>
    <t>Post-Installation</t>
  </si>
  <si>
    <t>PSEG Long Island may require additional documentation not listed in the check boxes above as deemed necessary to properly process any rebates.</t>
  </si>
  <si>
    <t>I have read and understand the information listed above.</t>
  </si>
  <si>
    <t>Added Ts &amp; Cs, Guidelines, Required Documents tabs</t>
  </si>
  <si>
    <t>Updated NTG values (Free Ridership, Spillover, Demand LLF, Energy LLF) to match Dimple's screenshot from e-mail sent on 1/23/17</t>
  </si>
  <si>
    <t>Changed version number to draft_2.0 and updating effective date</t>
  </si>
  <si>
    <t>Removed $/kW cap from Summary sheet.</t>
  </si>
  <si>
    <t>draft_2.0</t>
  </si>
  <si>
    <t>5.26.17</t>
  </si>
  <si>
    <t>6.1.17</t>
  </si>
  <si>
    <t>Updated version to 1.1</t>
  </si>
  <si>
    <t>Changed effective date to 6.26.17</t>
  </si>
  <si>
    <t>6.23.17</t>
  </si>
  <si>
    <t>draft_1.0</t>
  </si>
  <si>
    <t>Changed Air Cooled Air Conditioner retrofit criteria for existing units from EER to IEER or IPLV for all units other than Room Air Conditioners</t>
  </si>
  <si>
    <t>12.21.18</t>
  </si>
  <si>
    <t>Updated macros with correct passwords and relocked all worksheets using the updated password</t>
  </si>
  <si>
    <t>TM</t>
  </si>
  <si>
    <t>12.21.17</t>
  </si>
  <si>
    <t>12.22.17</t>
  </si>
  <si>
    <t>Minor edits to text</t>
  </si>
  <si>
    <t>kam</t>
  </si>
  <si>
    <t>draft1.1</t>
  </si>
  <si>
    <t>Project ID:</t>
  </si>
  <si>
    <t>Updated Existing Unit Eligibility logic in the Eff-Size Qualifications tab Columns: AE:AF. Now should correctly allow SEERs &lt;=10.0 and EERs &lt;= 9.0 based on the existing unit type</t>
  </si>
  <si>
    <t>(lb CO2 / Unit)</t>
  </si>
  <si>
    <t>kWh to MMBTU</t>
  </si>
  <si>
    <t>conversion factor</t>
  </si>
  <si>
    <t>Per Unit CO2 Savings</t>
  </si>
  <si>
    <t>Per Unit MMBTU Savings</t>
  </si>
  <si>
    <t>Added per unit CO2 savings and per unit MMBtu savings to proposed0 tab</t>
  </si>
  <si>
    <t>Changed program year to 2019, effective date to 1.1.19 and version to daft_1.0</t>
  </si>
  <si>
    <t>12.4.18</t>
  </si>
  <si>
    <t>Do not use this application for Lighting and Standard rebates. For Lighting and Standard rebates please visit:</t>
  </si>
  <si>
    <t>https://www.psegliny.com/businessandcontractorservices/businessandcommercialsavings/businessandcommercialrebates</t>
  </si>
  <si>
    <t>12.6.18</t>
  </si>
  <si>
    <t>Updated eligibility date on guidelines to reflect 1.1.19</t>
  </si>
  <si>
    <t>ED</t>
  </si>
  <si>
    <t>Draft_1.1</t>
  </si>
  <si>
    <t>Updated pseg website link on guidelines tab</t>
  </si>
  <si>
    <t>Only applications and worksheets in effect at the time of submittal will be accepted.  Please visit our website for the most recent applications and worksheets:</t>
  </si>
  <si>
    <t xml:space="preserve">Corrected kWh calculation to use EER for room ac instead of SEER since SEER is not available </t>
  </si>
  <si>
    <t>Corrected baseline efficiency lookups on Proposed0</t>
  </si>
  <si>
    <t>Updated Line Losses to 6% Energy and 8.5% Demand</t>
  </si>
  <si>
    <t>12.7.18</t>
  </si>
  <si>
    <t>Draft_1.2</t>
  </si>
  <si>
    <t>12.13.18</t>
  </si>
  <si>
    <t>Model Number</t>
  </si>
  <si>
    <t>Updated Application Name to HVAC Rebate Application</t>
  </si>
  <si>
    <t>Draft_1.3</t>
  </si>
  <si>
    <t>Removed "Optional" from Model #/Mfg fields on worksheet</t>
  </si>
  <si>
    <t>Eligible equipment may be updated or modified regularly. For the  most recent applications and worksheets please visit:</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</si>
  <si>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</si>
  <si>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 xml:space="preserve">Project ID : </t>
  </si>
  <si>
    <t>12.21.19</t>
  </si>
  <si>
    <t>Updated version to 1.0 per client approval</t>
  </si>
  <si>
    <t>Version_1.0</t>
  </si>
  <si>
    <t>In Service Rate</t>
  </si>
  <si>
    <t>Utility Gross kW</t>
  </si>
  <si>
    <t>Utility Gross kWh</t>
  </si>
  <si>
    <t>Added 3 columns to proposed0 tab, In Service Rate, Utility Gross kW and Utility Gross kWh</t>
  </si>
  <si>
    <t>Extended number of decimal places to 7 for kW and 5 for kWh fields on Proposed0</t>
  </si>
  <si>
    <t>Updated Workbook name macro to account for additional columns</t>
  </si>
  <si>
    <t>2.15.19</t>
  </si>
  <si>
    <r>
      <rPr>
        <sz val="10"/>
        <color indexed="8"/>
        <rFont val="Calibri"/>
        <family val="2"/>
      </rPr>
      <t>≥</t>
    </r>
    <r>
      <rPr>
        <sz val="10"/>
        <color indexed="8"/>
        <rFont val="Arial Narrow"/>
        <family val="2"/>
      </rPr>
      <t xml:space="preserve"> 0.75 Tons &amp; &lt; 1 Ton</t>
    </r>
  </si>
  <si>
    <t>≥ 1 Tons</t>
  </si>
  <si>
    <r>
      <rPr>
        <sz val="10"/>
        <color indexed="8"/>
        <rFont val="Calibri"/>
        <family val="2"/>
      </rPr>
      <t>&lt;</t>
    </r>
    <r>
      <rPr>
        <sz val="10"/>
        <color indexed="8"/>
        <rFont val="Arial Narrow"/>
        <family val="2"/>
      </rPr>
      <t xml:space="preserve"> 0.75 Tons</t>
    </r>
  </si>
  <si>
    <t>Updated dropdownn selection for Package Terminal units</t>
  </si>
  <si>
    <t>2.19.19</t>
  </si>
  <si>
    <t>draft_2.1</t>
  </si>
  <si>
    <t>≥ 0.75 Tons &amp; &lt; 1 Ton</t>
  </si>
  <si>
    <t>Packaged Terminal Air Conditioners &lt; 0.75 Tons All Types</t>
  </si>
  <si>
    <t>Packaged Terminal Air Conditioners ≥ 1 Tons All Types</t>
  </si>
  <si>
    <t>Packaged Terminal Air Conditioners ≥ 0.75 Tons &amp; &lt; 1 Ton All Types</t>
  </si>
  <si>
    <t>Packaged Terminal Heat Pumps &lt; 0.75 Tons All Types</t>
  </si>
  <si>
    <t>Packaged Terminal Heat Pumps ≥ 0.75 Tons &amp; &lt; 1 Ton All Types</t>
  </si>
  <si>
    <t>Packaged Terminal Air Conditioners &lt; 0.75 Tons All Types Tier 1</t>
  </si>
  <si>
    <t>Packaged Terminal Air Conditioners ≥ 0.75 Tons &amp; &lt; 1 Ton All Types Tier 1</t>
  </si>
  <si>
    <t>Packaged Terminal Air Conditioners ≥ 1 Tons All Types Tier 1</t>
  </si>
  <si>
    <t>Packaged Terminal Heat Pumps &lt; 0.75 Tons All Types Tier 1</t>
  </si>
  <si>
    <t>Packaged Terminal Heat Pumps ≥ 0.75 Tons &amp; &lt; 1 Ton All Types Tier 1</t>
  </si>
  <si>
    <t>Packaged Terminal Heat Pumps ≥ 1 Tons All Types Tier 1</t>
  </si>
  <si>
    <t>Fixed Conditional Formatting logic on line 17 of the Customer Inputs tab</t>
  </si>
  <si>
    <t>2.26.19</t>
  </si>
  <si>
    <t>draft_2.2</t>
  </si>
  <si>
    <t>draft_2.3</t>
  </si>
  <si>
    <t>2.27.19</t>
  </si>
  <si>
    <t>Updated "existing IEER/SEER" field to include IPLV</t>
  </si>
  <si>
    <t>Updated SEER and EER examples on example line of customer inputs to reflect corrected #s based on eligiblity tablw</t>
  </si>
  <si>
    <t>Updated logo formating on all tabs</t>
  </si>
  <si>
    <t>Prop 0: Updated all savings columns to reflect "Number" format</t>
  </si>
  <si>
    <t>By providing a telephone number you are giving consent to be contacted at that number about matters that are closely related to the utility service.</t>
  </si>
  <si>
    <t>Updated Terms and Conditions with legal language pertaining to phone numbers</t>
  </si>
  <si>
    <t>Updated PSEGLI Logos</t>
  </si>
  <si>
    <t>Locked and hid all cells not requiring data input</t>
  </si>
  <si>
    <t>Increase row heights on Eligibility Table so all data is visible</t>
  </si>
  <si>
    <t>Updated formula in C77 on Summary tab so it properly sums values in C column above it</t>
  </si>
  <si>
    <t>draft_2.4</t>
  </si>
  <si>
    <t>3.18.19</t>
  </si>
  <si>
    <t>MT</t>
  </si>
  <si>
    <t>3.29.19</t>
  </si>
  <si>
    <t>Version 1.1 approved by the client and ready for release</t>
  </si>
  <si>
    <t>Heating Fuels</t>
  </si>
  <si>
    <t>Electric</t>
  </si>
  <si>
    <t>Gas</t>
  </si>
  <si>
    <t>Oil</t>
  </si>
  <si>
    <t>Propane</t>
  </si>
  <si>
    <t>Cooling ELFH</t>
  </si>
  <si>
    <t>Heating EFLH</t>
  </si>
  <si>
    <t>Split System AC</t>
  </si>
  <si>
    <t>Single Package AC</t>
  </si>
  <si>
    <t>Split SystemAC</t>
  </si>
  <si>
    <t>Ductless Mini-Split HP</t>
  </si>
  <si>
    <t>Split System HP</t>
  </si>
  <si>
    <t>Single Package HP</t>
  </si>
  <si>
    <t>Water Source Heat Pump</t>
  </si>
  <si>
    <t>Packaged Terminal AC</t>
  </si>
  <si>
    <t>Packaged Terminal HP</t>
  </si>
  <si>
    <t>Heater AFUE</t>
  </si>
  <si>
    <t>Carrier</t>
  </si>
  <si>
    <t>11.11.19</t>
  </si>
  <si>
    <t>MCR</t>
  </si>
  <si>
    <t>1.0_draft1.0</t>
  </si>
  <si>
    <t>Development: Updated Version Number, Year and Effective date for 2020 Version 1</t>
  </si>
  <si>
    <t>References: Rearranged tables to mimic the Master Internal document</t>
  </si>
  <si>
    <t>References: Copy pasted values from Master Internal draft 1.9.1 over tables</t>
  </si>
  <si>
    <t>Worksheet: Unhid all Columns</t>
  </si>
  <si>
    <t>Worksheet: Inserted column AA to Existing Equipmet table</t>
  </si>
  <si>
    <t xml:space="preserve">Worksheet: Named new column "Heater AFUE" </t>
  </si>
  <si>
    <t>Worksheet: Inserted Column U</t>
  </si>
  <si>
    <t>Worksheet: Named new Column "Heating Fuel Type"</t>
  </si>
  <si>
    <t>References: Created table in B10:B17 that includes all possible existing fuel types</t>
  </si>
  <si>
    <t>Worksheet: Added Data validation to reference References B10:B17</t>
  </si>
  <si>
    <t>Minimum Requirement</t>
  </si>
  <si>
    <t>Existing/Baseline Unit</t>
  </si>
  <si>
    <t>AFUE</t>
  </si>
  <si>
    <t>Baseline Efficiency</t>
  </si>
  <si>
    <t>Cooling Equipment</t>
  </si>
  <si>
    <t>Heating equipment</t>
  </si>
  <si>
    <t>Existing/Baseline Equipment</t>
  </si>
  <si>
    <t>Existing Equipment Dropdown List</t>
  </si>
  <si>
    <t>Air Conditioner Split System</t>
  </si>
  <si>
    <t>Air Conditioner Single Package</t>
  </si>
  <si>
    <t>Ductless Mini -Split Heat Pumps</t>
  </si>
  <si>
    <t>Air Cooled Heat Pumps Split System</t>
  </si>
  <si>
    <t>Air Cooled Heat Pump Single Package</t>
  </si>
  <si>
    <t>Packaged Terminal Air Conditioner</t>
  </si>
  <si>
    <t>VRF Air Cooled Heat Pump</t>
  </si>
  <si>
    <t>Existing Heat</t>
  </si>
  <si>
    <t>Existing Gas</t>
  </si>
  <si>
    <t>Existing Oil</t>
  </si>
  <si>
    <t>MMBtu per Unit</t>
  </si>
  <si>
    <t>Displacement</t>
  </si>
  <si>
    <t>Factor</t>
  </si>
  <si>
    <t>kWh Parasitics</t>
  </si>
  <si>
    <t>Fossil Fuel Burner</t>
  </si>
  <si>
    <t>Parasitics (kWh/MMBtu)</t>
  </si>
  <si>
    <t>(kWh/MMBTU)</t>
  </si>
  <si>
    <t xml:space="preserve">Parasitics </t>
  </si>
  <si>
    <t>Heating Savings</t>
  </si>
  <si>
    <t>Added Heating</t>
  </si>
  <si>
    <t>MMBTU per Unit</t>
  </si>
  <si>
    <t>Cooling Savings</t>
  </si>
  <si>
    <t>Fossil Fuel Heating Savings</t>
  </si>
  <si>
    <t>Electric Heating Savings</t>
  </si>
  <si>
    <t>FF + E Heating Savings</t>
  </si>
  <si>
    <t>Total MMBtu</t>
  </si>
  <si>
    <t>EE kWh</t>
  </si>
  <si>
    <t>Total</t>
  </si>
  <si>
    <t>SEER/IEER/IPLV 
(if available)</t>
  </si>
  <si>
    <t>EER 
(if available)</t>
  </si>
  <si>
    <t>HSPF
(if available)</t>
  </si>
  <si>
    <t>COP 
(if available)</t>
  </si>
  <si>
    <t>PASS/FAIL</t>
  </si>
  <si>
    <t>Worksheet: Added Conditional formatting to Existing table for HSPF, and AFUE</t>
  </si>
  <si>
    <t>11.15.19</t>
  </si>
  <si>
    <t>Calculations:Copy pasted 2019 Master Internal draft 1.9.1 HVAC calculations over for columns A-X</t>
  </si>
  <si>
    <t>Calculations: Added columns AB &amp; AC to check if calculations are using Existing or baseline conditons, and what equipemtn type that is</t>
  </si>
  <si>
    <t>Calculations: Changed Existing/Basline to first check if a value was enetered in the existing equipment table on Customer Inputs, and if not, populate the baseline vaule from the References tab</t>
  </si>
  <si>
    <t>Calculations: Don't allow HSPF or COP to populate if User has selected a fossil fuel baseline</t>
  </si>
  <si>
    <t>Calculations: Added columns AH, AI, AJ for Existing fossil fuel equipment AFUE, Displacement, and Electric Parasitics</t>
  </si>
  <si>
    <t>Calculations: Added columns AN, AO, AP, AR, AS, and AT For MMBTU and BE kWh</t>
  </si>
  <si>
    <t>Calculations: Changed Rebate calculation to be $/kWh calculation</t>
  </si>
  <si>
    <t>Assembly</t>
  </si>
  <si>
    <t>Calculations: Changed COP calculation to check References column BJ instead of BI</t>
  </si>
  <si>
    <t>References: Updated Building types and hours to reflect Mid Atlantic TRM v9</t>
  </si>
  <si>
    <t>11.18.19</t>
  </si>
  <si>
    <t>draft 2.0</t>
  </si>
  <si>
    <t>draft 3.0</t>
  </si>
  <si>
    <t>draft 4.0</t>
  </si>
  <si>
    <t>Building</t>
  </si>
  <si>
    <t>Type</t>
  </si>
  <si>
    <t>Calculations: Added formula to EFLH cooling and EFLH heating to reference the building type and references tab table</t>
  </si>
  <si>
    <t>Customer Inputs: Added Warning over rebate columns to inform user to enter a building type</t>
  </si>
  <si>
    <t>Existig Heating Fuel</t>
  </si>
  <si>
    <t>Inspection Form: Changed Pre-Inspection to verify the Existing Heating Fuel instead of Unit size, and made Quantity a user entry</t>
  </si>
  <si>
    <t xml:space="preserve">Building Type : </t>
  </si>
  <si>
    <t>Rebate $/kWh</t>
  </si>
  <si>
    <t>Sample Photo</t>
  </si>
  <si>
    <t>Sample Phots</t>
  </si>
  <si>
    <t>Sample Photos</t>
  </si>
  <si>
    <t>For new equipment or replacement of existing equipment</t>
  </si>
  <si>
    <t>Ductless Mini-Split Cold Climate Heat Pumps</t>
  </si>
  <si>
    <t>Cold Climate Air Source Heat Pumps</t>
  </si>
  <si>
    <t>Copied Customer Inputs tab and pasted into this document</t>
  </si>
  <si>
    <t>draft 5.0</t>
  </si>
  <si>
    <t>11.20.19</t>
  </si>
  <si>
    <t>Small Business Heating: Renamed copied tab "Small Business Heating"</t>
  </si>
  <si>
    <t>Small Business Heating: Udated Data Validation for Size Category</t>
  </si>
  <si>
    <t>References: extended size category table to include ccASHPS</t>
  </si>
  <si>
    <t>Smal Business Heating: Changed formula in Column D to not require a Sub Category to be entered</t>
  </si>
  <si>
    <t>draft 6.0</t>
  </si>
  <si>
    <t>Customer Inputs</t>
  </si>
  <si>
    <t>Small Buiness Heating</t>
  </si>
  <si>
    <t>Calculations: Copy Pasted Customer Inouts table below it to create the Small Business Calculations table</t>
  </si>
  <si>
    <t>Calculations: Linked the tables to the Small Business Heating tab instead of the Customer Inputs tab</t>
  </si>
  <si>
    <t>References: Added cold climate heat pumps to the teir 1/teir2 table</t>
  </si>
  <si>
    <t>Name Manager: Extended T1T2References Name Ranges to include new heat pump measures</t>
  </si>
  <si>
    <t>Enhanced rebate 1</t>
  </si>
  <si>
    <t>Enhanced rebate 2</t>
  </si>
  <si>
    <t>Enhanced rebate 3</t>
  </si>
  <si>
    <t>Manual N</t>
  </si>
  <si>
    <t>Cooling Load</t>
  </si>
  <si>
    <t>Heating Load</t>
  </si>
  <si>
    <t>Integrated Controls</t>
  </si>
  <si>
    <t>Control Type</t>
  </si>
  <si>
    <t>Total Customer Rebate</t>
  </si>
  <si>
    <t>Total Contractor Incentive</t>
  </si>
  <si>
    <t>Manual N check</t>
  </si>
  <si>
    <t>Heating Min</t>
  </si>
  <si>
    <t>Heating Max</t>
  </si>
  <si>
    <t>AHRI Reference ID</t>
  </si>
  <si>
    <t>Approved Thermostat</t>
  </si>
  <si>
    <t>Which one is installed?</t>
  </si>
  <si>
    <t>Model Names</t>
  </si>
  <si>
    <t>Dual Fuel Thermostat</t>
  </si>
  <si>
    <t>Aprilaire</t>
  </si>
  <si>
    <t>Bosche</t>
  </si>
  <si>
    <t>Bryant</t>
  </si>
  <si>
    <t>Building36</t>
  </si>
  <si>
    <t>Ecobee</t>
  </si>
  <si>
    <t>Honeywell Home</t>
  </si>
  <si>
    <t>Lennox Industries Inc.</t>
  </si>
  <si>
    <t>LG Electronics</t>
  </si>
  <si>
    <t>Nest</t>
  </si>
  <si>
    <t>Nexia</t>
  </si>
  <si>
    <t>Robertshaw</t>
  </si>
  <si>
    <t>Tekmar</t>
  </si>
  <si>
    <t>Integrated Control</t>
  </si>
  <si>
    <t>Bosch Connected Control BCC100 Thermostat</t>
  </si>
  <si>
    <t>Evolution System Control</t>
  </si>
  <si>
    <t>Intelligent Thermostat</t>
  </si>
  <si>
    <t>COR</t>
  </si>
  <si>
    <t>Ecobee 3 lite</t>
  </si>
  <si>
    <t>Prestige IAQ</t>
  </si>
  <si>
    <t>iComfort E30</t>
  </si>
  <si>
    <t>Thermostat</t>
  </si>
  <si>
    <t>Nest Third Gen</t>
  </si>
  <si>
    <t>Trane/American Standard/Service First</t>
  </si>
  <si>
    <t>Invita</t>
  </si>
  <si>
    <t>COR 5C</t>
  </si>
  <si>
    <t>Ecobee 4</t>
  </si>
  <si>
    <t>Smart Round</t>
  </si>
  <si>
    <t>iComfort M30</t>
  </si>
  <si>
    <t>Manufacturers</t>
  </si>
  <si>
    <t>COR 7C</t>
  </si>
  <si>
    <t>Ecobee Smart Thermostat with Voice Control</t>
  </si>
  <si>
    <t>T6 Pro</t>
  </si>
  <si>
    <t>iComfort S30</t>
  </si>
  <si>
    <t>Infintiy System Control</t>
  </si>
  <si>
    <t>T6 Pro Smart</t>
  </si>
  <si>
    <t>iComfort WiFi</t>
  </si>
  <si>
    <t>VisionPro 800 Smart</t>
  </si>
  <si>
    <t>CMNA ICP-MIDEA</t>
  </si>
  <si>
    <t>Daikin</t>
  </si>
  <si>
    <t>WiFi 8000</t>
  </si>
  <si>
    <t>EWC Controls</t>
  </si>
  <si>
    <t>Fujitsu</t>
  </si>
  <si>
    <t>8476W</t>
  </si>
  <si>
    <t>Gree</t>
  </si>
  <si>
    <t>8620W</t>
  </si>
  <si>
    <t>Haier</t>
  </si>
  <si>
    <t>8910W</t>
  </si>
  <si>
    <t>8920W</t>
  </si>
  <si>
    <t>Mitsubishi Electric</t>
  </si>
  <si>
    <t>Samsung Electric</t>
  </si>
  <si>
    <t>Panasonic</t>
  </si>
  <si>
    <t>Based on list above. If not on list above, it will not be counted.</t>
  </si>
  <si>
    <t>Model Numbers</t>
  </si>
  <si>
    <t>Capability</t>
  </si>
  <si>
    <t>BCC100</t>
  </si>
  <si>
    <t>SYSTXBBECC01</t>
  </si>
  <si>
    <t>B36-T10</t>
  </si>
  <si>
    <t>T6-WEM01-A</t>
  </si>
  <si>
    <t>EB-STATE3LT***</t>
  </si>
  <si>
    <t>YTHX9421R5085WW</t>
  </si>
  <si>
    <t>E30</t>
  </si>
  <si>
    <t>PREMTVBC0</t>
  </si>
  <si>
    <t>T3008US</t>
  </si>
  <si>
    <t>ACONT824AS52D*</t>
  </si>
  <si>
    <t>9725I2</t>
  </si>
  <si>
    <t>TSTWHA01</t>
  </si>
  <si>
    <t>EB-STATE4***</t>
  </si>
  <si>
    <t>YTHX9421R5101WW</t>
  </si>
  <si>
    <t>M30</t>
  </si>
  <si>
    <t>PREMTBVC1</t>
  </si>
  <si>
    <t>T3016US</t>
  </si>
  <si>
    <t>TCONT824AS52D*</t>
  </si>
  <si>
    <t>9825I2</t>
  </si>
  <si>
    <t>564B</t>
  </si>
  <si>
    <t>TSTWRH01</t>
  </si>
  <si>
    <t>EB-STATE5***</t>
  </si>
  <si>
    <t>TH8732WFH 5002</t>
  </si>
  <si>
    <t>S30</t>
  </si>
  <si>
    <t>T3017US</t>
  </si>
  <si>
    <t>ACONT724AS42D*</t>
  </si>
  <si>
    <t>SYSTXCCITC01-B</t>
  </si>
  <si>
    <t>TH6320U 2008</t>
  </si>
  <si>
    <t>WiFi</t>
  </si>
  <si>
    <t>T3021US</t>
  </si>
  <si>
    <t>TCONT724AS42D*</t>
  </si>
  <si>
    <t>TH6320WF 2003</t>
  </si>
  <si>
    <t>ACONT624AS42D*</t>
  </si>
  <si>
    <t>TH8320R 1003</t>
  </si>
  <si>
    <t>TCONT624AS42D*</t>
  </si>
  <si>
    <t>TH8321R 1001</t>
  </si>
  <si>
    <t>AZON1050AC52Z*</t>
  </si>
  <si>
    <t>TH8321WF 1001</t>
  </si>
  <si>
    <t>TZON1050AC52Z*</t>
  </si>
  <si>
    <t>ACONT850AC52U*</t>
  </si>
  <si>
    <t>TCONT850AC52U*</t>
  </si>
  <si>
    <t>Control Kits- Model Names</t>
  </si>
  <si>
    <t>24V Interface</t>
  </si>
  <si>
    <t>ENVI</t>
  </si>
  <si>
    <t>Ultra-Zone</t>
  </si>
  <si>
    <t>Wired Remote Controller (Touch Panel)</t>
  </si>
  <si>
    <t>Flair Puck + Honeywell T6 Pro Smart</t>
  </si>
  <si>
    <t>IFTTT</t>
  </si>
  <si>
    <t>Third Party Tstat Method L Model Series IDU</t>
  </si>
  <si>
    <t>T-stat Interface + Transformer</t>
  </si>
  <si>
    <t>Thermostat Adaptor</t>
  </si>
  <si>
    <t>Honeywell LYRIC</t>
  </si>
  <si>
    <t>Novus N2020</t>
  </si>
  <si>
    <t>AUX Heater Kit Highwall Multi</t>
  </si>
  <si>
    <t>Kumo Station + Kumo Cloud + Outdoor Temperature Sensor</t>
  </si>
  <si>
    <t>Honeywell LYRIC T6</t>
  </si>
  <si>
    <t>Thermostat Converter</t>
  </si>
  <si>
    <t>Aux Heater Kit All Ducted/Cassette</t>
  </si>
  <si>
    <t>IFTTT Connect</t>
  </si>
  <si>
    <t>Third Party Tstat Method A Model Series IDU</t>
  </si>
  <si>
    <t>A Series IDU Model - Dry Contact Built In</t>
  </si>
  <si>
    <t>Control Kits- Model Number</t>
  </si>
  <si>
    <t>Learning</t>
  </si>
  <si>
    <t>KSAIC0301230</t>
  </si>
  <si>
    <t>KSAIC0401230</t>
  </si>
  <si>
    <t>DACA-TSI-1</t>
  </si>
  <si>
    <t>BMPlus 3000</t>
  </si>
  <si>
    <t>UTY-RNRUZ2</t>
  </si>
  <si>
    <t>ICS001P</t>
  </si>
  <si>
    <t>QAWF01A</t>
  </si>
  <si>
    <t>PDRYCB300</t>
  </si>
  <si>
    <t>PAC-US444CN-1</t>
  </si>
  <si>
    <t>TADPT2</t>
  </si>
  <si>
    <t>TH8732WFH5002/U</t>
  </si>
  <si>
    <t>BMPlus 5000</t>
  </si>
  <si>
    <t>PRARS1</t>
  </si>
  <si>
    <t>PAC-WHS01HC-E</t>
  </si>
  <si>
    <t>TH6220WF2006</t>
  </si>
  <si>
    <t>Connected</t>
  </si>
  <si>
    <t>BMPlus 7000</t>
  </si>
  <si>
    <t>UTY-TTRX</t>
  </si>
  <si>
    <t>PRARH0</t>
  </si>
  <si>
    <t>C7089U1006/U</t>
  </si>
  <si>
    <t>PICDF19</t>
  </si>
  <si>
    <t>UZC-4</t>
  </si>
  <si>
    <t>IDU MODEL</t>
  </si>
  <si>
    <t>PAC-USWHS002-WF-1</t>
  </si>
  <si>
    <t>UZC-6</t>
  </si>
  <si>
    <t>VPL24-210</t>
  </si>
  <si>
    <t>No Fossil Fuel Heating</t>
  </si>
  <si>
    <t>Ductless Mini-Split Cold Climate Heat Pump</t>
  </si>
  <si>
    <t>Ducted Cold Climate Heat Pump</t>
  </si>
  <si>
    <t>Rebate $/ton</t>
  </si>
  <si>
    <t>Contractor Incentive / Project</t>
  </si>
  <si>
    <t>Contractor</t>
  </si>
  <si>
    <t>Incentive</t>
  </si>
  <si>
    <t>11.22.19</t>
  </si>
  <si>
    <t>Calculations: Extended the first Small Business Heating table to include PASS/FAIL based on Manual N inputs</t>
  </si>
  <si>
    <t>Small Business Heating: Added columns P&amp;Q for Manual N inputs</t>
  </si>
  <si>
    <t>Calculations: Removed all reference to Eff-Q (delete)</t>
  </si>
  <si>
    <t>Calculations: Added final PASS/FAIL for small business heating to include if it passes the minimum requirements and is sized correctly</t>
  </si>
  <si>
    <t>Calculations: Rebate formula for Small business heating to $/ton basis</t>
  </si>
  <si>
    <t>Small Business Heating: Chnaged Rebate formulas to reference small business table</t>
  </si>
  <si>
    <t>Small Business Heating: Changed the reference for the Estimate Rebate to the Claculations tab</t>
  </si>
  <si>
    <t xml:space="preserve">Small Business heating: Changed Size (tons) and Quantity columns to be cooling btuh and heating btuh </t>
  </si>
  <si>
    <t>Small Business heating: Added column H for AHRI Reference number</t>
  </si>
  <si>
    <t>Small Business heating: Added integrated controls table above equipment table</t>
  </si>
  <si>
    <t>Small Business heating: Added instructions/eligibility requirements</t>
  </si>
  <si>
    <t>Small Business heating: Removed customer informatin section except the building type</t>
  </si>
  <si>
    <t>draft 7.0</t>
  </si>
  <si>
    <t>Eligibility Table: Hid columns for Tier 0 and Tier 2</t>
  </si>
  <si>
    <t>Eligiblity Table: Changed rebates to show new $/kWh structure</t>
  </si>
  <si>
    <t>Eligibility Table: Added Sample photos for different equipment</t>
  </si>
  <si>
    <t xml:space="preserve">Eligibility Table: Added Small Business Whole Building Table </t>
  </si>
  <si>
    <t>Small Business Heating: Added column AI for Contractor Incentive</t>
  </si>
  <si>
    <t>Calculations: Added Contractor Incentive in column BJ for small business heating</t>
  </si>
  <si>
    <t>Calculations: Only allow $500 to appear once and only for qaulified ccASHPs</t>
  </si>
  <si>
    <t>References: Copied Integrated control info from 2019 Whole House v2.0</t>
  </si>
  <si>
    <t>Small Business Heating: Added data validation for integrated control list</t>
  </si>
  <si>
    <t>Btu</t>
  </si>
  <si>
    <t>Calculations: Switching calcs from ton to btu</t>
  </si>
  <si>
    <t>Calculations: Each line should be a single heat pump. Removed quantity from Totals calcs</t>
  </si>
  <si>
    <t>Eff-Q (delete): Deleted</t>
  </si>
  <si>
    <t>draft 8.0</t>
  </si>
  <si>
    <t>Replacement Type</t>
  </si>
  <si>
    <t>New Construction</t>
  </si>
  <si>
    <t>All Others</t>
  </si>
  <si>
    <t>18.0 SEER
10 HSPF</t>
  </si>
  <si>
    <t>For new equipment</t>
  </si>
  <si>
    <t>CEP402</t>
  </si>
  <si>
    <t>17.0 SEER
10 HSPF</t>
  </si>
  <si>
    <t>CCHP101-NC</t>
  </si>
  <si>
    <t>CCHP101-OC</t>
  </si>
  <si>
    <t>CCHP101-AO</t>
  </si>
  <si>
    <t>CCHP211-NC</t>
  </si>
  <si>
    <t>CCHP211-OC</t>
  </si>
  <si>
    <t>CCHP211-AO</t>
  </si>
  <si>
    <t>11.25.19</t>
  </si>
  <si>
    <t>Eligibility table: added 2 rows for each of the small business heating equipment types (ductless, ducted cold climate heat pumps)</t>
  </si>
  <si>
    <t>draft 8.1</t>
  </si>
  <si>
    <t>Eligibility table: Added new measure codes and rebate levels for small business heating</t>
  </si>
  <si>
    <t>CCHP101</t>
  </si>
  <si>
    <t>18.0 SEER
10.0 HSPF</t>
  </si>
  <si>
    <t>17.0 SEER
10.0 HSPF</t>
  </si>
  <si>
    <t>CCHP211</t>
  </si>
  <si>
    <t>Customer Inputs: Columns D &amp; V formulas were updated to reference down to row 43</t>
  </si>
  <si>
    <t>Customer Inputs: Columns D &amp; V formulas were updated to not require column E to be filled for Cold Climet heat pumps</t>
  </si>
  <si>
    <t>Cooling &amp; Controls</t>
  </si>
  <si>
    <t>References: Added new cold climate heat pump and integrated control measure codes</t>
  </si>
  <si>
    <t>HVAC types: Added new cold climate heat pump and integrated control measure codes</t>
  </si>
  <si>
    <t>Integrated control</t>
  </si>
  <si>
    <t>Small Business Heating: Updated Total Savings to reference Calculations</t>
  </si>
  <si>
    <t>Calculations: Updated Measure code formula to include cold climate heat pumps</t>
  </si>
  <si>
    <t>Calculations: Chnaged Tier formula to only show Tier 1 when project passes and the new measure is not a cold climate heat pump</t>
  </si>
  <si>
    <t>Summary: Added new cold cliamte measure codes</t>
  </si>
  <si>
    <t>Total EE kWh Savings</t>
  </si>
  <si>
    <t>Existing Heating Type</t>
  </si>
  <si>
    <t>Scanario</t>
  </si>
  <si>
    <t>Note: In order for a heat pump to qualify as cold climate, it must appear on the NEEP cold climate list.</t>
  </si>
  <si>
    <t>Customer Rebate</t>
  </si>
  <si>
    <t>12.3.19</t>
  </si>
  <si>
    <t>draft 8.2</t>
  </si>
  <si>
    <t>Changed Small Business Heating to Whole Building ccASHP</t>
  </si>
  <si>
    <t>Whole Business ccASHP: Removed Serial Number from Integrated Controls Table</t>
  </si>
  <si>
    <t>Whole Business ccASHP: Changed Size Category data validation to formula that always equals "All Sizes" when a ccAHP is entered</t>
  </si>
  <si>
    <t>Whole Business ccASHP: Hid Size Category column</t>
  </si>
  <si>
    <t>Unit Size 
(Cooling Btu)</t>
  </si>
  <si>
    <t>Unit Size 
(Heating Btu)</t>
  </si>
  <si>
    <t>HVAC Worksheet Totals</t>
  </si>
  <si>
    <t>WB ccASHP  Totals</t>
  </si>
  <si>
    <t>Summary: Added Totals row for WB ccASHP</t>
  </si>
  <si>
    <t>Summary: Changed row 86 to say "HVAC Worksheet Totals"</t>
  </si>
  <si>
    <t>Summary: Added formulas to add quanities and savings for WB ccASHP measures</t>
  </si>
  <si>
    <t>Summary: Adjusted HVAC Worksheet Totals formulas to include new cold climate heat pumps</t>
  </si>
  <si>
    <t>Whole Building ccASHP: Chnaged Controls Reabte to =0 when nothing is entered</t>
  </si>
  <si>
    <t>Whole Building ccASHP: Added Integrated controls to the list of requirements</t>
  </si>
  <si>
    <t>Whole Building ccASHP: Total estimated rebate will reference summary row 87</t>
  </si>
  <si>
    <t>Summary: Added check box to hide/unhide ccASHP Inspection form</t>
  </si>
  <si>
    <t>ccASHP Inspection Form: Copies from Inspection Form</t>
  </si>
  <si>
    <t>ccASHP Inspection Form: Linked to Whole Building ccASHP</t>
  </si>
  <si>
    <t>ccASHP Inspection Form: Changed Post Inspection Quantity to Unit Size Heating</t>
  </si>
  <si>
    <t>Summary tab: moved inspection check boxes to Worksheet tabs</t>
  </si>
  <si>
    <t xml:space="preserve">Workbook Name : </t>
  </si>
  <si>
    <t>draft 8.3</t>
  </si>
  <si>
    <t>Macro: Save Workbook name to references tab</t>
  </si>
  <si>
    <t>Additional Projects to Inspect:</t>
  </si>
  <si>
    <t>Inspection Form: Added Workbook Name, project ID, and Additional Projects to inspect at top of form</t>
  </si>
  <si>
    <t>Additional Projects to Inspect :</t>
  </si>
  <si>
    <t>ccASHP Inspection Form: Added Workbook Name, project ID, and Additional Projects to inspect at top of form</t>
  </si>
  <si>
    <t>AHRI Cooling Capacity (Btuh)</t>
  </si>
  <si>
    <t>Gross MMBtu Savings per Unit</t>
  </si>
  <si>
    <t>Total MMBtu Savings</t>
  </si>
  <si>
    <t>RAC only</t>
  </si>
  <si>
    <t>RAC Only</t>
  </si>
  <si>
    <t>12.4.19</t>
  </si>
  <si>
    <t>Whole Building ccASHP: hid contractor incentive column</t>
  </si>
  <si>
    <t>draft 8.4</t>
  </si>
  <si>
    <t>Calculations tab: Set ccASHP Contrctor incentive to 0</t>
  </si>
  <si>
    <t>Eligibility Criteria: hid Contractor Incentive Column</t>
  </si>
  <si>
    <t xml:space="preserve">Eligibility Criteria: Put Room Acs on their own table with Existing Equipment Criteria </t>
  </si>
  <si>
    <t>References: Added Room ACS to the Tier 1 &amp; 2 Table</t>
  </si>
  <si>
    <t xml:space="preserve">Calculations: Added RAC only columns W &amp; R to the HVAC Worksheet table </t>
  </si>
  <si>
    <t>Calculations: Column W will now check if the RAC is replacing a unit &lt;=8.0 EER, or it will FAIL</t>
  </si>
  <si>
    <t>EEkWh</t>
  </si>
  <si>
    <t>per unit</t>
  </si>
  <si>
    <t>EE CO2 Savings</t>
  </si>
  <si>
    <t>BE CO2 Savings</t>
  </si>
  <si>
    <t>Total Savings</t>
  </si>
  <si>
    <t>Existing Electric</t>
  </si>
  <si>
    <t>kWh</t>
  </si>
  <si>
    <t>12.5.19</t>
  </si>
  <si>
    <t>Calculations: Added Columns in HVAC table for Heating kW per unit and total</t>
  </si>
  <si>
    <t>Calculations: Added Columns in HVAC table for EE and BE CO2 Savings per unit</t>
  </si>
  <si>
    <t>Calculations: Added Columns in HVAC table for EE kWh Savings per unit</t>
  </si>
  <si>
    <t>Calculations: Added Columns in WB ccASHP table for Heating kW per unit and total</t>
  </si>
  <si>
    <t>Calculations: Added Columns in WH ccASHP table for EE and BE CO2 Savings per unit</t>
  </si>
  <si>
    <t>Prop0: Added 26 rows for WB ccASHP</t>
  </si>
  <si>
    <t>Prop0: Re-mapped HVAC and ccASHP to Prop0</t>
  </si>
  <si>
    <t>draft 8.5</t>
  </si>
  <si>
    <t>12.6.19</t>
  </si>
  <si>
    <t>Calculations Shifted columns for HVAC to make room for "Existing Critera"</t>
  </si>
  <si>
    <t>Calculations: Only allow FF MMBTU savings for HVAC replacements including a HP</t>
  </si>
  <si>
    <t>Total MMBTU Savings</t>
  </si>
  <si>
    <t>Total MMBTU Savings:</t>
  </si>
  <si>
    <t>HVAC Worksheet: Added Total MMBTU to Project Summary</t>
  </si>
  <si>
    <t>Whole Building ccASHP: Added Total MMBTU to Project Summary</t>
  </si>
  <si>
    <t>draft 8.6</t>
  </si>
  <si>
    <t xml:space="preserve">Cleared and locked worksheets </t>
  </si>
  <si>
    <t>draft 8.7</t>
  </si>
  <si>
    <t>HAVC Worksheet: Added data validation to Size (Tons) based on Size Category sleected</t>
  </si>
  <si>
    <t>Calculations: WB ccASHP table adjusted formulas for MMBTU, CO2, kW and kWh savings to not appear if product fails</t>
  </si>
  <si>
    <t>Water Source Heat Pumps &lt; 11.25 Tons All Types</t>
  </si>
  <si>
    <t>Cold Climate Air Source Heat Pumps All Sizes All Types</t>
  </si>
  <si>
    <t>Ductless Mini-Split Cold Climate Heat Pumps All Sizes All Types</t>
  </si>
  <si>
    <t>Water Source Heat Pumps &lt; 11.25 Tons All Types Tier 1</t>
  </si>
  <si>
    <t>Ductless Mini-Split Cold Climate Heat Pumps All Sizes All Types New Construction</t>
  </si>
  <si>
    <t>Ductless Mini-Split Cold Climate Heat Pumps All Sizes All Types Existing Oil NO CAC</t>
  </si>
  <si>
    <t>Ductless Mini-Split Cold Climate Heat Pumps All Sizes All Types All Other</t>
  </si>
  <si>
    <t>Cold Climate Air Source Heat Pumps All Sizes All Types New Construction</t>
  </si>
  <si>
    <t>Cold Climate Air Source Heat Pumps All Sizes All Types Existing Oil No CAC</t>
  </si>
  <si>
    <t>Cold Climate Air Source Heat Pumps All Sizes All Types All Other</t>
  </si>
  <si>
    <t xml:space="preserve">Cold Climate Air Source Heat Pumps All Sizes All Types </t>
  </si>
  <si>
    <t xml:space="preserve">Ductless Mini-Split Cold Climate Heat Pumps All Sizes All Types </t>
  </si>
  <si>
    <t>12.10.19</t>
  </si>
  <si>
    <t>HVAC References: ASHP &gt;5.4 to &lt;11.5 COP should be 3.4</t>
  </si>
  <si>
    <t>Whole Building ccASHP Worksheet: Added NYSERDA link for Integrated Controls</t>
  </si>
  <si>
    <t>draft 8.8</t>
  </si>
  <si>
    <t>Any IR Controlled Mini-split + Flair</t>
  </si>
  <si>
    <t>Puck Pro</t>
  </si>
  <si>
    <t>FLAIRPUCK001P</t>
  </si>
  <si>
    <t xml:space="preserve">          -See NYSERDA's list of Qualified Integrated Controls for more information: </t>
  </si>
  <si>
    <t>https:\\nyserda.ny.gov/qualified-integrated-controls</t>
  </si>
  <si>
    <t>Existing Propane</t>
  </si>
  <si>
    <t>kW Rounding</t>
  </si>
  <si>
    <t>kWh Rounding</t>
  </si>
  <si>
    <t xml:space="preserve">MMBTU Rounding </t>
  </si>
  <si>
    <t>Small Business Whole Building Heat Pump</t>
  </si>
  <si>
    <t>$500/project</t>
  </si>
  <si>
    <t>draft 8.9</t>
  </si>
  <si>
    <t>12.16.19</t>
  </si>
  <si>
    <t>HVAC Worksheet: Changed existing equipment number in column V to be 2 if RAC is existing</t>
  </si>
  <si>
    <t xml:space="preserve">Calculations: For HVAC Calcs Existing Baseline lookup starts at row 4 </t>
  </si>
  <si>
    <t>Calculations: Updated rounding to reference References tab</t>
  </si>
  <si>
    <t>References: Added rounding values for kW, kWh, and MMBTU</t>
  </si>
  <si>
    <t>Eligibility table: Fixed "Busness" typo</t>
  </si>
  <si>
    <t>Eligibility table: Wrote in "$500/project" for integrated controls incentive</t>
  </si>
  <si>
    <t>True Zone Dual Fuel Zoning Panel Kit</t>
  </si>
  <si>
    <t>True Zone Dual Fuel Zoning Panel</t>
  </si>
  <si>
    <t>HZ432K</t>
  </si>
  <si>
    <t>HZ432</t>
  </si>
  <si>
    <t>HVAC References: Updated Dual Fuel Thermostats to include all new models</t>
  </si>
  <si>
    <t>Effective Date:</t>
  </si>
  <si>
    <t>Eligibility Table: Added Effective Date</t>
  </si>
  <si>
    <t>Eligibility Table: Changed Rebate on VRF to $/kWh from Tier 1 Rebate/ton</t>
  </si>
  <si>
    <t>Calculations: Changed Rebate calculation to reference Column BJ instead of BK</t>
  </si>
  <si>
    <t>Whole Building ccASHP: Extended the Existing Cooling drop down to 7 items in the list</t>
  </si>
  <si>
    <t>HVAC Inputs: Extended the Existing Cooling drop down to 7 items in the list</t>
  </si>
  <si>
    <t>Summary: Fixed CCHP211 "Total Rebate" calc</t>
  </si>
  <si>
    <t>Whole Building ccASHP: Changed Formatting for Capacity and Manual N to Nimber with comma and no decimals</t>
  </si>
  <si>
    <t>draft 9.0</t>
  </si>
  <si>
    <t>COP to HSPF</t>
  </si>
  <si>
    <t>12.18.19</t>
  </si>
  <si>
    <t>HVAC Worksheet: Added exapmles for existing equipment</t>
  </si>
  <si>
    <t>Whole Building ccASHP Worksheet: Added examples for existing equipment</t>
  </si>
  <si>
    <t>Eligibility Table: Adjusted ASHP requirements to match CEE tier requirements</t>
  </si>
  <si>
    <t>draft 9.1</t>
  </si>
  <si>
    <t>Calculations: Updated Existing/Baseline HSPF to calculate off of COP if available (specifically for Electric resistance replacement)</t>
  </si>
  <si>
    <t>Spillover*</t>
  </si>
  <si>
    <t>*ODC TRM kWh value</t>
  </si>
  <si>
    <t>In-Servce Rate</t>
  </si>
  <si>
    <t>References: Updated NTG factors</t>
  </si>
  <si>
    <t>draft 9.2</t>
  </si>
  <si>
    <t>12.19.19</t>
  </si>
  <si>
    <t>Whole Building ccASHP:Added AHRI ID example</t>
  </si>
  <si>
    <t>HVAC Worksheet: Changed name range for Clear Inputs</t>
  </si>
  <si>
    <t>draft 9.3</t>
  </si>
  <si>
    <t>The PSEG Long Island HVAC Worksheet gathers data on a customer, their existing AC equipment (if applicable) and their proposed heating and cooling equipment.  It automatically calculates the anticipated rebate for the proposed project.</t>
  </si>
  <si>
    <t>Instructions Tab: Removed "And their Proposd AC equipment" and changed it to "proposed heating and cooling equipment"</t>
  </si>
  <si>
    <t>Draft9.4</t>
  </si>
  <si>
    <t>Where eligible products are required to be listed with an approved rating agency (i.e. ENERGY STAR, CEE, NEEP, or other approved equivalent), products must be installed and used in accordance with the rating condition for which it was approved at the time such approval was given.</t>
  </si>
  <si>
    <t>Guidelines Tab: Row 10 - Updated date to 1/1/20</t>
  </si>
  <si>
    <t>Guidelines Tab: Row 18 - Added NEEP as approved rating agency</t>
  </si>
  <si>
    <t>Required Documents for Whole Building ccASHP Projects</t>
  </si>
  <si>
    <t>Required Docs: Added a new section called "Required Documents for ccASHP Projects" - Added Manual N and AHRI as 
Pre-Installation required docs</t>
  </si>
  <si>
    <t>Instructions for Completing the HVAC Worksheet</t>
  </si>
  <si>
    <t>Instructions Tab: Changed title to say "Instructions for Completing the HVAC Worksheet"</t>
  </si>
  <si>
    <t>Draft9.5</t>
  </si>
  <si>
    <t>Wholle Building ccASHP Tab: Added an additional instruction to inform participant that ccASHP must be 5.4 tons or less and found
on the NEEP list, also edited line 1 and removed the reference to "you"</t>
  </si>
  <si>
    <t>New equipment must be of the same size as existing equipment in order to be eligible for rebates offered in this workbook; for all other replacement types please contact your PSEG Long Island representative.</t>
  </si>
  <si>
    <t>If the proposed equipment is listed in the eligibility table, use the appropirate Worksheet to calculate the estimated rebate.</t>
  </si>
  <si>
    <t>Enter information from left to right, in order. Equipment Type must be entered before the Size Category, and the Size Category before Sub Code.</t>
  </si>
  <si>
    <t>Enter the information for proposed equipment AND the existing equipment (where applicable).</t>
  </si>
  <si>
    <t>The rebate will be displayed at the end of each row, and totaled at the top of the page under ‘Total Estimated Rebate.’</t>
  </si>
  <si>
    <t>or via Lead Partner Portal Online Application</t>
  </si>
  <si>
    <t>As indicated on the application, submit completed worksheet and any other required documents to CEPLI@PSEG.com or upload to the Lead Partner Portal Online Application.  Be sure to include the PSEG Long Island account number in the subject line of emails.</t>
  </si>
  <si>
    <t>Cooling Equipment
(required)</t>
  </si>
  <si>
    <t>Primary Heating Fuel Type
(required)</t>
  </si>
  <si>
    <t>1.10.20</t>
  </si>
  <si>
    <t>HAVC Worksheet: Added "(required)" under Existing Cooling and Heating Types</t>
  </si>
  <si>
    <t>Draft9.8</t>
  </si>
  <si>
    <t>Whole Building ccASHP Worksheet: Added "(required)" under Existing Cooling and Heating Types</t>
  </si>
  <si>
    <t>Auto Repair</t>
  </si>
  <si>
    <t>Big Box Retail</t>
  </si>
  <si>
    <t>Community College</t>
  </si>
  <si>
    <t>Fast Food Restaurant</t>
  </si>
  <si>
    <t>Full Service Restaurant</t>
  </si>
  <si>
    <t xml:space="preserve">Grocery </t>
  </si>
  <si>
    <t>High School</t>
  </si>
  <si>
    <t>Hospital</t>
  </si>
  <si>
    <t>Hotel</t>
  </si>
  <si>
    <t>Large Office</t>
  </si>
  <si>
    <t>Large Retail</t>
  </si>
  <si>
    <t>Light Industrial</t>
  </si>
  <si>
    <t>Motel</t>
  </si>
  <si>
    <t>Primary School</t>
  </si>
  <si>
    <t>Religious</t>
  </si>
  <si>
    <t>Small Office</t>
  </si>
  <si>
    <t>Small Retail</t>
  </si>
  <si>
    <t>University</t>
  </si>
  <si>
    <t>Warehouse</t>
  </si>
  <si>
    <t>1.12.20</t>
  </si>
  <si>
    <t>References: Updated EFLH per ODC recommendation</t>
  </si>
  <si>
    <t>Draft10</t>
  </si>
  <si>
    <t>1.14.20</t>
  </si>
  <si>
    <t>Worksheet Approved by client &amp; Locked</t>
  </si>
  <si>
    <t>Version 1.0</t>
  </si>
  <si>
    <t>9.04.20</t>
  </si>
  <si>
    <t>References: Updated Baseline SEER/EER/IEER/HSPF/COP to be consistent with AHRAE 90.1 2016</t>
  </si>
  <si>
    <t>2021_Version 1.0_draft1.0</t>
  </si>
  <si>
    <t>14.6 IEER
11.3 EER
3.4 COP</t>
  </si>
  <si>
    <t>13.9 IEER
10.9 EER
3.2 COP</t>
  </si>
  <si>
    <t>12.7 IEER
10.3 EER
3.2 COP</t>
  </si>
  <si>
    <t>References: Updated VRF Heat Pump Air Cooled Tier 1 eligibility to at least ASHRAE 2016 standards</t>
  </si>
  <si>
    <t>Eligibility table: Updated minimum VRF Eligibility to match References</t>
  </si>
  <si>
    <t>AHRI Heating Capacity (Btuh @ 17 degrees)</t>
  </si>
  <si>
    <t>Integrated/Modulating Control</t>
  </si>
  <si>
    <t>HPSizing Ratio</t>
  </si>
  <si>
    <t>WB</t>
  </si>
  <si>
    <t>Scenario</t>
  </si>
  <si>
    <t>Ductless Mini-Split Cold Climate Heat Pumps Integrated/Modulating Control 0.9</t>
  </si>
  <si>
    <t>Cold Climate Air Source Heat Pumps Integrated/Modulating Control 0.9</t>
  </si>
  <si>
    <t>1a</t>
  </si>
  <si>
    <t>1b</t>
  </si>
  <si>
    <t>1c</t>
  </si>
  <si>
    <t>1d</t>
  </si>
  <si>
    <t>2g</t>
  </si>
  <si>
    <t>2h</t>
  </si>
  <si>
    <t>Description</t>
  </si>
  <si>
    <t>a</t>
  </si>
  <si>
    <t>b</t>
  </si>
  <si>
    <t>c</t>
  </si>
  <si>
    <t>d</t>
  </si>
  <si>
    <t>F cooling</t>
  </si>
  <si>
    <t>F heating</t>
  </si>
  <si>
    <t>11.10.2020</t>
  </si>
  <si>
    <t>Draft 1.1</t>
  </si>
  <si>
    <t>Ductless Mini-Split Cold Climate Heat Pumps Integrated/Modulating Control 1</t>
  </si>
  <si>
    <t>Cold Climate Air Source Heat Pumps Integrated/Modulating Control 1</t>
  </si>
  <si>
    <t>Ductless Mini-Split Cold Climate Heat Pumps No Fossil Fuel Heating 1</t>
  </si>
  <si>
    <t>Cold Climate Air Source Heat Pumps No Fossil Fuel Heating 1</t>
  </si>
  <si>
    <t>Seasonal,ee</t>
  </si>
  <si>
    <t>Seasonal,baseline</t>
  </si>
  <si>
    <t>HSPF Climate Adjustment Factor</t>
  </si>
  <si>
    <t>HSPF &lt;8.5</t>
  </si>
  <si>
    <t>HSPF &gt;8.5</t>
  </si>
  <si>
    <t>F HSPF</t>
  </si>
  <si>
    <t>Peak Emmision Factor</t>
  </si>
  <si>
    <t>Off-PeakEmmision Factor</t>
  </si>
  <si>
    <t>lbs CO2/unit</t>
  </si>
  <si>
    <t>11.11.2020</t>
  </si>
  <si>
    <t>Calculations: added new fields for whole building calcs</t>
  </si>
  <si>
    <t>References: added new fields for whole building calcs</t>
  </si>
  <si>
    <t>Calculations: adjusted savings formulas to new whole building methodology in NYS TRM</t>
  </si>
  <si>
    <t>Draft 1.2</t>
  </si>
  <si>
    <t>Inspection Form: populated Manufacturer and Model Number for Post-Inspection</t>
  </si>
  <si>
    <t>Model Number 
(if available*)</t>
  </si>
  <si>
    <t>SEER/IEER/IPLV 
(if available*)</t>
  </si>
  <si>
    <t>EER 
(if available*)</t>
  </si>
  <si>
    <t>HSPF
(if available*)</t>
  </si>
  <si>
    <t>COP 
(if available*)</t>
  </si>
  <si>
    <t>*Please note that ASHRAE 90.1 2016 will be used as the baseline if existing information is unavailable</t>
  </si>
  <si>
    <t>Note: Rebates for VRFs are only available for replacement of existing Multisplit systems</t>
  </si>
  <si>
    <t>n</t>
  </si>
  <si>
    <t>Eligibility Table: Added Row 7 under Eligibility Requirements to note that rebates are performance based and use ASHRAE as a baseline</t>
  </si>
  <si>
    <t>Eligibility Table: Added Row 62 under VRFs to note that VRFs must be replacing existing multisplits</t>
  </si>
  <si>
    <t>Model Number
(if available)</t>
  </si>
  <si>
    <t>Total Savings (lbs)</t>
  </si>
  <si>
    <t>11.13.2020</t>
  </si>
  <si>
    <t>Calculations: Fixed the CO2 for regular HVAC</t>
  </si>
  <si>
    <t>Draft 1.4</t>
  </si>
  <si>
    <t>Note: VRFs installed in place of all other scenarios may be eligibile for a Custom Rebate</t>
  </si>
  <si>
    <t>Integrated/Fixed Control</t>
  </si>
  <si>
    <t>CEP405</t>
  </si>
  <si>
    <t>CEP406</t>
  </si>
  <si>
    <t>CEP410</t>
  </si>
  <si>
    <t>-The ASHP and backup heating system are on the same thermostat  
-The backup heater can modulate to meet the load without limiting the ASHP from delivering its maximum capacity 
-Also called “perfect” control</t>
  </si>
  <si>
    <t>-The ASHP and backup heating system are on the same thermostat
-The backup heater has a fixed capacity to meet the load
-The backup heater is larger than the ASHP, so the ASHP is not always able to deliver its maximum capacity (the backup heater supplies a larger share of the load when both are running)</t>
  </si>
  <si>
    <t>-The central ASHP is installed on the same ductwork as the fuel-fired furnace
-Once the ASHP can no longer meet the load (or when a changeover temperature is reached)
-The ASHP shuts off and the furnace meets the load</t>
  </si>
  <si>
    <t>Eligibility Table: Expanded Integrated Controls for Whole Building</t>
  </si>
  <si>
    <t>Calculations: Added Utility Gross kW Savings</t>
  </si>
  <si>
    <t>Summary: Added Utility Gross kW Savings</t>
  </si>
  <si>
    <t>HVAC Worksheet: Added Utility Gross kW Savings to the Project Summary</t>
  </si>
  <si>
    <t>WB ccASHP Worksheet: Added Utility Gross kW Savings to the Project Summary</t>
  </si>
  <si>
    <t>Total Calculated Rebate</t>
  </si>
  <si>
    <t>11.17.20</t>
  </si>
  <si>
    <t>HVAC Worksheet: Removed Utility Gross kW</t>
  </si>
  <si>
    <t>WB ccASHP Worksheet: Removed Utility Gross kW Savings to the Project Summary</t>
  </si>
  <si>
    <t xml:space="preserve">1. To be eligible for the rebates on this worksheet, a cold climate air source heat pump (ccASHP) must be installed.  </t>
  </si>
  <si>
    <t>4. Contractors must supply a Manual N, or Load Calculations showing the total cooling and heating load for the building.</t>
  </si>
  <si>
    <t>5. The ccASHP installed must be variable capacity.</t>
  </si>
  <si>
    <t>6. If the customer is keeping the existing fossil fuel system, or is installing a new fossil fuel system, integrated controls or a dual fuel thermostat must also be installed.</t>
  </si>
  <si>
    <t>Ductless Multi-Split Cold Climate Heat Pump</t>
  </si>
  <si>
    <t>CCHP151-NC</t>
  </si>
  <si>
    <t>CCHP151-OC</t>
  </si>
  <si>
    <t>CCHP151-AO</t>
  </si>
  <si>
    <t>11.20.2020</t>
  </si>
  <si>
    <t>Eligibility Table: Added Ductless Multi-Splits to Whole Building</t>
  </si>
  <si>
    <t>Draft 2.0</t>
  </si>
  <si>
    <t>References: Changed Line Losses to 2021 values</t>
  </si>
  <si>
    <t>Ductless Multi-Split Cold Climate Heat Pumps</t>
  </si>
  <si>
    <t>Ductless Multi-Split Cold Climate Heat Pumps All Sizes All Types</t>
  </si>
  <si>
    <t>Ductless Multi-Split Cold Climate Heat Pumps All Sizes All Types New Construction</t>
  </si>
  <si>
    <t>Ductless Multi-Split Cold Climate Heat Pumps All Sizes All Types Existing Oil NO CAC</t>
  </si>
  <si>
    <t>Ductless Multi-Split Cold Climate Heat Pumps All Sizes All Types All Other</t>
  </si>
  <si>
    <t>Ductless Multi-Split Cold Climate Heat Pumps Integrated/Modulating Control 0.9</t>
  </si>
  <si>
    <t>Ductless Multi-Split Cold Climate Heat Pumps Integrated/Modulating Control 1</t>
  </si>
  <si>
    <t>Ductless Multi-Split Cold Climate Heat Pumps No Fossil Fuel Heating 1</t>
  </si>
  <si>
    <t>3b</t>
  </si>
  <si>
    <t>3c</t>
  </si>
  <si>
    <t>12.08.20</t>
  </si>
  <si>
    <t>References: Changed the PTHP and PTAC min and Max for &gt;=1</t>
  </si>
  <si>
    <t>Draft 2.1</t>
  </si>
  <si>
    <t>12.15.20</t>
  </si>
  <si>
    <t>Customer Information: Unlocked Cell G29</t>
  </si>
  <si>
    <t>Draft 3.0</t>
  </si>
  <si>
    <t xml:space="preserve">Eligibility Table: Centered Text in F36-F47 </t>
  </si>
  <si>
    <t>References: Fixed maximum for &lt;11.25 &lt;5.4 &lt;20 &amp; &lt;63 to 11.2499999, 5.39999999, 19.999999, 62.99999999</t>
  </si>
  <si>
    <t>Organization Type</t>
  </si>
  <si>
    <t>Select…</t>
  </si>
  <si>
    <t>Government</t>
  </si>
  <si>
    <t>Not Incorporated</t>
  </si>
  <si>
    <t>Not for Profit</t>
  </si>
  <si>
    <t>Incorporated</t>
  </si>
  <si>
    <t>College</t>
  </si>
  <si>
    <t>Grocery</t>
  </si>
  <si>
    <t>Health</t>
  </si>
  <si>
    <t>Manufacturing</t>
  </si>
  <si>
    <t>Office</t>
  </si>
  <si>
    <t>Retail</t>
  </si>
  <si>
    <t>Restaurant</t>
  </si>
  <si>
    <t>School</t>
  </si>
  <si>
    <t>Ref Tab: Added tables for Organization Type and Building Type - Added to Name Manager</t>
  </si>
  <si>
    <t>Draft4</t>
  </si>
  <si>
    <t>Cust Ifno Tab: Removed Radio buttons for Org Type and Building Type- Replaced with Dropdown data validation</t>
  </si>
  <si>
    <t>Dev Tab: Updated effective date to 1.1.21</t>
  </si>
  <si>
    <t>Guidelines Tab: Added row 8 regarding Multi-Fam Application</t>
  </si>
  <si>
    <t>For Multi Family projects, please refer to the Multi-Family application found on the PSEG Long Island website.</t>
  </si>
  <si>
    <t>Projects must be completed within 180 days of pre approval for all retrofit applications and one year for new construction.</t>
  </si>
  <si>
    <t>If the proposed equipment either does not meet the eligibility requirements or is not listed below, the applicant may still be eligible for a Custom Rebate.
Contact a PSEG Long Island representative or the PSEG Long Island infoline at 1-800-692-2626.</t>
  </si>
  <si>
    <t>Rebates are performance based, and calculated from a baseline of ASHRAE 90.1 2016 unless existing efficiencies are provided</t>
  </si>
  <si>
    <r>
      <t>-Ductless Mini-Split is a Single Zone application
-AHRI Capacity at 17</t>
    </r>
    <r>
      <rPr>
        <sz val="11"/>
        <rFont val="Calibri"/>
        <family val="2"/>
      </rPr>
      <t>⁰F</t>
    </r>
    <r>
      <rPr>
        <sz val="11"/>
        <rFont val="Arial Narrow"/>
        <family val="2"/>
      </rPr>
      <t xml:space="preserve"> must meet at least 90% of the calculated heating load
-Must be installed with Integrated Modulating Controls if fossil fuel heaters are still present</t>
    </r>
  </si>
  <si>
    <t>-Ductless Multi-Split is a Multiple Zones application
-AHRI Capacity at 17⁰F degrees must meet at least 90% of the calculated heating load
-Must be installed with Integrated Modulating Controls if fossil fuel heaters are still present</t>
  </si>
  <si>
    <t>-Centrally Ducted System
-AHRI Capacity at 17⁰F degrees must meet at least 90% of the calculated heating load</t>
  </si>
  <si>
    <r>
      <t>2. The ccASHP must be sized at 17</t>
    </r>
    <r>
      <rPr>
        <sz val="11"/>
        <color theme="1"/>
        <rFont val="Calibri"/>
        <family val="2"/>
      </rPr>
      <t>⁰</t>
    </r>
    <r>
      <rPr>
        <sz val="8.8000000000000007"/>
        <color theme="1"/>
        <rFont val="Arial Narrow"/>
        <family val="2"/>
      </rPr>
      <t>F</t>
    </r>
    <r>
      <rPr>
        <sz val="11"/>
        <color theme="1"/>
        <rFont val="Arial Narrow"/>
        <family val="2"/>
      </rPr>
      <t xml:space="preserve"> to meet at least 90% of the building's total heating load.</t>
    </r>
  </si>
  <si>
    <t>12.16.20</t>
  </si>
  <si>
    <t xml:space="preserve">Guidelines Tab: Removed Row 7 </t>
  </si>
  <si>
    <t xml:space="preserve">Required Docs: Added row above Pre-Inspection and moved Vendor's Proposal </t>
  </si>
  <si>
    <t>Required Docs: Added Post Insoection box</t>
  </si>
  <si>
    <t>Eligibility Table: Removed Duplicate words in instructions</t>
  </si>
  <si>
    <r>
      <t>Eligibility table: Changed 17 degrees to 17</t>
    </r>
    <r>
      <rPr>
        <sz val="12"/>
        <color theme="1"/>
        <rFont val="Calibri"/>
        <family val="2"/>
      </rPr>
      <t>⁰</t>
    </r>
    <r>
      <rPr>
        <sz val="9.6"/>
        <color theme="1"/>
        <rFont val="Arial Narrow"/>
        <family val="2"/>
      </rPr>
      <t>F</t>
    </r>
  </si>
  <si>
    <t>Calculations: Chnaged Whold building criteria to 90% - 120%</t>
  </si>
  <si>
    <t>Existing Other</t>
  </si>
  <si>
    <t>Cold Climate Air Source Heat Pumps Dual Fuel Thermostat 0.9</t>
  </si>
  <si>
    <t>Cold Climate Air Source Heat Pumps Integrated/Fixed Capacity Control 0.9</t>
  </si>
  <si>
    <t>12.28.20</t>
  </si>
  <si>
    <t>Eligibility Table: Air Cool HP 11.25 - 63 tons COP requirement changed to 3.3 COP</t>
  </si>
  <si>
    <t>References: Chnaged &lt;2.5 tons to Max of 2.499999</t>
  </si>
  <si>
    <t>Calculations: Existing Baselin COP Reference search expanded to 4:44</t>
  </si>
  <si>
    <t>Calculations: Cooling kWh rounding using SEER now also references the references tab</t>
  </si>
  <si>
    <t>Calculations: Heating kW was missing kW increase if Proposed COP is present and baseline is not</t>
  </si>
  <si>
    <t>References: Added "Existing Other" as abseline with electric CO2</t>
  </si>
  <si>
    <t>WB cc ASHP Worksheet: Corrected spelling error in Existing Equipmet warning in column AM</t>
  </si>
  <si>
    <t>References: Removed "Control from Dual fuel Thermostat ccASHP scenario look up name</t>
  </si>
  <si>
    <t>References: Added the word "Capacity" to the Integrated/Fixed ccASHP scenario look up name</t>
  </si>
  <si>
    <t xml:space="preserve">Calculations: For HP Sizing Ratio "OR" statement was added to include both Integrated/Modulating and No Fossil Fuel Heating </t>
  </si>
  <si>
    <t>References: Double checked ASHRAE 2016 Baselines</t>
  </si>
  <si>
    <t>Integrated/Fixed Capacity Control</t>
  </si>
  <si>
    <t>12.29.20</t>
  </si>
  <si>
    <t>Summary: Added new IC measure codes</t>
  </si>
  <si>
    <t>Summary: expanded Sum for Whole Building</t>
  </si>
  <si>
    <t>12.30.20</t>
  </si>
  <si>
    <t>Locked and finalized for Jan 2021 Launch</t>
  </si>
  <si>
    <t>Version1.0</t>
  </si>
  <si>
    <t>Ventilation Equipment</t>
  </si>
  <si>
    <t>Energy Recovery Ventilator (ERV)</t>
  </si>
  <si>
    <t>Existing Building</t>
  </si>
  <si>
    <t>$70/100CFM</t>
  </si>
  <si>
    <t>$60/100CFM</t>
  </si>
  <si>
    <t>High Volume Low Speed Fans (HVLS)</t>
  </si>
  <si>
    <t>HVLS fans are ceiling mounted fans that move large amounts of air more efficiently and with lower noise levels</t>
  </si>
  <si>
    <t>&gt;=16 feet diameter</t>
  </si>
  <si>
    <t>All Building Type</t>
  </si>
  <si>
    <t>ERV/HRV Equipment CFM</t>
  </si>
  <si>
    <t>Sensible HX Efficiency</t>
  </si>
  <si>
    <t>Total HX Efficiency</t>
  </si>
  <si>
    <t>Delta P (Inch of Water)</t>
  </si>
  <si>
    <t>Primary Heating Fuel Type</t>
  </si>
  <si>
    <t>Equipment Type (Required)</t>
  </si>
  <si>
    <t>Primary Heating Fuel Type (Required)</t>
  </si>
  <si>
    <t>Model Number (If Available)</t>
  </si>
  <si>
    <t>SEER / IEER</t>
  </si>
  <si>
    <t>SEER / IEER (If available)</t>
  </si>
  <si>
    <t>Boiler / Furnace AFUE (If available)</t>
  </si>
  <si>
    <t>Ventilation Measure</t>
  </si>
  <si>
    <t>Energy Recovery Ventilator &amp; Heat Recovery Ventilator (ERV / HRV)</t>
  </si>
  <si>
    <t>Units</t>
  </si>
  <si>
    <t>Fan Type</t>
  </si>
  <si>
    <t>Fan Type (Required)</t>
  </si>
  <si>
    <t>Drop Down List</t>
  </si>
  <si>
    <t>Make-Up Air Unit</t>
  </si>
  <si>
    <t>Equipment Type (Existing Unit)</t>
  </si>
  <si>
    <t>Heating Fuels (Existing)</t>
  </si>
  <si>
    <t>Equipment Type (New Unit)</t>
  </si>
  <si>
    <t>Heat Recovery Ventilator (HRV)</t>
  </si>
  <si>
    <t>16 Feet HVLS</t>
  </si>
  <si>
    <t>17 Feet HVLS</t>
  </si>
  <si>
    <t>18 Feet HVLS</t>
  </si>
  <si>
    <t>19 Feet HVLS</t>
  </si>
  <si>
    <t>20 Feet HVLS</t>
  </si>
  <si>
    <t>21 Feet HVLS</t>
  </si>
  <si>
    <t>22 Feet HVLS</t>
  </si>
  <si>
    <t>23 Feet HVLS</t>
  </si>
  <si>
    <t>24 Feet HVLS</t>
  </si>
  <si>
    <t>Building Construction Type</t>
  </si>
  <si>
    <t>24" - 35" Diameter</t>
  </si>
  <si>
    <t>36" - 47" Diameter</t>
  </si>
  <si>
    <t>48" - 52" Diameter</t>
  </si>
  <si>
    <t>Size Category (Required)</t>
  </si>
  <si>
    <t>Result</t>
  </si>
  <si>
    <t>H Outdoor Cooling</t>
  </si>
  <si>
    <t>H Indoor Cooling</t>
  </si>
  <si>
    <t>T Indoor Heating</t>
  </si>
  <si>
    <t>Fan Efficiency</t>
  </si>
  <si>
    <t>Fan Motor Efficiency</t>
  </si>
  <si>
    <t>T Outdoor Heating</t>
  </si>
  <si>
    <t>Btu/lb</t>
  </si>
  <si>
    <t>F</t>
  </si>
  <si>
    <t>Existing Equipment (Air Conditioner Air Cooled Package Unit)</t>
  </si>
  <si>
    <t>Seer/IEER</t>
  </si>
  <si>
    <t>Existing Equipment (Air Conditioner Water Cooled Package Unit)</t>
  </si>
  <si>
    <t>Air Conditioners - Water Cooled</t>
  </si>
  <si>
    <t>Existing Heating Equipment</t>
  </si>
  <si>
    <t>Efficiency</t>
  </si>
  <si>
    <t>Ventilation</t>
  </si>
  <si>
    <t/>
  </si>
  <si>
    <t xml:space="preserve">  </t>
  </si>
  <si>
    <t>ERV/HRV CFM</t>
  </si>
  <si>
    <t>Boiler/Furnace AFUE</t>
  </si>
  <si>
    <t>ASHRAE 90.1 2016 Values if Existing value not present</t>
  </si>
  <si>
    <t>Vlookup</t>
  </si>
  <si>
    <t>Air Conditioners - Air Cooled ≥ 5.4 &amp; &lt; 11.25 Tons</t>
  </si>
  <si>
    <t>Air Conditioners - Air Cooled &lt; 5.4 Tons</t>
  </si>
  <si>
    <t>Air Conditioners - Air Cooled ≥ 11.25 &amp; &lt; 20 Tons</t>
  </si>
  <si>
    <t>Air Conditioners - Air Cooled ≥ 20 &amp; &lt; 63 Tons</t>
  </si>
  <si>
    <t>Air Conditioners - Water Cooled &lt; 5.4 Tons</t>
  </si>
  <si>
    <t>Air Conditioners - Water Cooled ≥ 5.4 &amp; &lt; 11.25 Tons</t>
  </si>
  <si>
    <t>Air Conditioners - Water Cooled ≥ 11.25 &amp; &lt; 20 Tons</t>
  </si>
  <si>
    <t>Air Conditioners - Water Cooled ≥ 20 &amp; &lt; 63 Tons</t>
  </si>
  <si>
    <t>Make-Up Air Unit &lt; 5.4 Tons</t>
  </si>
  <si>
    <t>Make-Up Air Unit ≥ 5.4 &amp; &lt; 11.25 Tons</t>
  </si>
  <si>
    <t>Make-Up Air Unit ≥ 11.25 &amp; &lt; 20 Tons</t>
  </si>
  <si>
    <t>Make-Up Air Unit ≥ 20 &amp; &lt; 63 Tons</t>
  </si>
  <si>
    <t>SEER/IEER (ASHRAE 90.1 2016)</t>
  </si>
  <si>
    <t>HSPF (Only for Electric Heating)</t>
  </si>
  <si>
    <t>Conversion</t>
  </si>
  <si>
    <t>Density of inlet air at 70ºF x 60 min/hr, in lb-min/ft3-hr</t>
  </si>
  <si>
    <t>Specific heat of air × density of inlet air @ 70°F × 60 min/hr in BTU/h-ºF CFM</t>
  </si>
  <si>
    <t>Conversion factor, one MMBtu equals 1,000,000 BTU</t>
  </si>
  <si>
    <t>Conversion factor from horsepower to ft.lb/min</t>
  </si>
  <si>
    <t>Conversion factor from inches of water to pounds per square ft (lb/sq.ft.)</t>
  </si>
  <si>
    <t>Conversion factor (kW/hp), 746 watts equals one electric horsepower</t>
  </si>
  <si>
    <t>Conversion factor, one kW equals 1,000 Watts</t>
  </si>
  <si>
    <t>Fan kW</t>
  </si>
  <si>
    <t>Cooling kWh</t>
  </si>
  <si>
    <t>Heating kWh</t>
  </si>
  <si>
    <t>Cooling MMBTU</t>
  </si>
  <si>
    <t>Heating MMBTU</t>
  </si>
  <si>
    <t>Total Electric Savings kWh</t>
  </si>
  <si>
    <t>ERV Energy Savings</t>
  </si>
  <si>
    <t>Boiler Furnace AFUE</t>
  </si>
  <si>
    <t>HRV Energy Savings</t>
  </si>
  <si>
    <t>T Outdoor Cooling</t>
  </si>
  <si>
    <t>T Indoor Cooling</t>
  </si>
  <si>
    <t>Total Peak Demand Savings kW</t>
  </si>
  <si>
    <t>CF</t>
  </si>
  <si>
    <t>ERV Rebate</t>
  </si>
  <si>
    <t>HRV Rebate</t>
  </si>
  <si>
    <t>$/100CFM</t>
  </si>
  <si>
    <t>Defaults Values (HVLS Fans)</t>
  </si>
  <si>
    <t>CFM/Watts</t>
  </si>
  <si>
    <t>New Construction/If unknown</t>
  </si>
  <si>
    <t>HVLS</t>
  </si>
  <si>
    <t>Energy Savings Calcs</t>
  </si>
  <si>
    <t>Existing Units</t>
  </si>
  <si>
    <t>Electric Savings kWh</t>
  </si>
  <si>
    <t>Peak kW Savings</t>
  </si>
  <si>
    <t>Operating Days</t>
  </si>
  <si>
    <t>24/7 - 365</t>
  </si>
  <si>
    <t>Mon - Sun 6AM-12AM</t>
  </si>
  <si>
    <t>Mon - Sun 6AM-10PM</t>
  </si>
  <si>
    <t>Mon - Fri 7AM-7PM and Sun 11AM-6PM</t>
  </si>
  <si>
    <t>Mon - Fri 7AM-7PM</t>
  </si>
  <si>
    <t>Mon - Fri 7AM-5PM</t>
  </si>
  <si>
    <t>Facility Operating Hours Profile</t>
  </si>
  <si>
    <t>Avg values</t>
  </si>
  <si>
    <t>Rebate ($50/Diameter)</t>
  </si>
  <si>
    <t>Facility Operating Hour Profile</t>
  </si>
  <si>
    <t>Operating hours</t>
  </si>
  <si>
    <t>Feet</t>
  </si>
  <si>
    <t>$50/ Ft. Diameter</t>
  </si>
  <si>
    <t>Existing Fan Type</t>
  </si>
  <si>
    <t>Transfers sensible heat only between supply and exhaust airstreams</t>
  </si>
  <si>
    <t>Transfers both sensible (heat content) and latent (moisture content) heat between supply and exhaust airstreams.</t>
  </si>
  <si>
    <t>Ex</t>
  </si>
  <si>
    <t>Ventilation Worksheet Total</t>
  </si>
  <si>
    <t>Ventilation Worksheet</t>
  </si>
  <si>
    <t>Added Ventilation measure in Eligibility table</t>
  </si>
  <si>
    <t>RS</t>
  </si>
  <si>
    <t>Added measure codes for ventilation measures</t>
  </si>
  <si>
    <t>Created Ventilation worksheet and Added ventilation measures into it</t>
  </si>
  <si>
    <t>In reference tab added relevent reference of ventilation measures from cell D146</t>
  </si>
  <si>
    <t>In Calculation tab added ventilation measures calcs from cell C67</t>
  </si>
  <si>
    <t>Fixed the calcs and formatting of Ventilation tab and calcualtion tab.</t>
  </si>
  <si>
    <t>In summary tab added Ventilation measures from Cell C91</t>
  </si>
  <si>
    <t>Equipment Size</t>
  </si>
  <si>
    <t>Unit Size CFM</t>
  </si>
  <si>
    <t xml:space="preserve">Model No </t>
  </si>
  <si>
    <t>Existing Fan Size</t>
  </si>
  <si>
    <t>Created Ventilation Inspection Forms</t>
  </si>
  <si>
    <t>Summary: Added IFNA to IC  measure codes</t>
  </si>
  <si>
    <t>Version1.1_draft4</t>
  </si>
  <si>
    <t>1. Have you or any family member traveled to a country for which the CDC has issued a Lvel 2 or 3 travel designation within the last 14 days?</t>
  </si>
  <si>
    <t>2. Have you or a family member traveled or had contact with any Persons Under Investigation (PUIs) for COVID-19 within the last 14 days, OR with anyone with known COVID-19?</t>
  </si>
  <si>
    <t>3. Do you or any family member have any symptoms of a fever or respiratory infection (e.g., cough, sore throat, fever, or shortness of breath)?</t>
  </si>
  <si>
    <t>IF ANY QUESTION IS RESPONDED TO WITH A YES, YOU CANNOT PROCEED AND WILL NEED TO RESCHEDULE THE APPOINTMENT</t>
  </si>
  <si>
    <t>Summary: Changed measure codes to match internal</t>
  </si>
  <si>
    <t>Inspection Forms: Added COVID-19 questions</t>
  </si>
  <si>
    <t>draft9</t>
  </si>
  <si>
    <t>draft8</t>
  </si>
  <si>
    <t>Calculations: Changed The Depth reference to the ventilation tab to column G</t>
  </si>
  <si>
    <t>Calculations: Changed the Fan kWh savings to divide by the unit quantity to get per unit savings</t>
  </si>
  <si>
    <t>Summary: Hnaged the Total and per unit references for ventilation and fans</t>
  </si>
  <si>
    <t>draft 10</t>
  </si>
  <si>
    <t>Dev Tab: Updated version to 2.0 and effective date to 7.5.21</t>
  </si>
  <si>
    <t>Draft11</t>
  </si>
  <si>
    <t>V100</t>
  </si>
  <si>
    <t>V110</t>
  </si>
  <si>
    <t>V200</t>
  </si>
  <si>
    <t>Summary Tab: Updated new measures codes to reflect V100, V110, and V200</t>
  </si>
  <si>
    <t>Ventilation Tab: Updated formatting for all numeric fields</t>
  </si>
  <si>
    <t>Elig TableTab: Updated new measures codes to reflect V100, V110, and V200</t>
  </si>
  <si>
    <t>HVLS INS Tab: Fixed Qty formula for Post INS section</t>
  </si>
  <si>
    <t>Calculations: Removed CF from HVLS fan Peak Summer kW</t>
  </si>
  <si>
    <t>Draft 12</t>
  </si>
  <si>
    <t>Summary tab: Switched per unit and total for ERVs and HRVs</t>
  </si>
  <si>
    <t>Summary tab: Added Sumif to all ventilation measures</t>
  </si>
  <si>
    <t>Calculations: Removed CF from ERV and HRVs</t>
  </si>
  <si>
    <t>Draft 13</t>
  </si>
  <si>
    <t>Ventilation: Change Total Per Unit to Total Cost</t>
  </si>
  <si>
    <t>Rebate Cap at Cost</t>
  </si>
  <si>
    <t>Ref Tab: Added Name Manager Functions for "Existing Fan Type" "Fan Building Type" and "Fan Type"</t>
  </si>
  <si>
    <t>Draft15</t>
  </si>
  <si>
    <t>Ventilation Tab: Added data validation with Name Manager to Existing Fan Type, Fan Building Type, and Fan Type dropdown fields</t>
  </si>
  <si>
    <t>Ven Tab: Corrected typos in 70% cost cap message</t>
  </si>
  <si>
    <t>Summary Tab: Added rows for ventilation to Total Rebate and Total MMBTU formulas</t>
  </si>
  <si>
    <t xml:space="preserve">Cals Tab: Added Utility Gross kW fields to columns AJ and AV for the ERVs and HRVs - Added formulas </t>
  </si>
  <si>
    <t>Utility Gross kW Savings</t>
  </si>
  <si>
    <t xml:space="preserve">Cals Tab: Added Utility Gross kW fields to columns T for the Fans - Added formulas </t>
  </si>
  <si>
    <t>Summary Tab: Added UG kW columns from ERV/HRV/FANs sections on Calcs tab to rollup to Total Utility Gross kW formula on Summary Tab</t>
  </si>
  <si>
    <t>Veniliation Tab: Added Name Manager "ERVHRV_Info" and "Fan_Info" to clear contents linked to Clear Inputs Tab - Updated Code to account for this</t>
  </si>
  <si>
    <t>10.18.21</t>
  </si>
  <si>
    <t>Development tab: Unlocked for 2022 changes</t>
  </si>
  <si>
    <t>Draft1</t>
  </si>
  <si>
    <t>11.8.21</t>
  </si>
  <si>
    <t>References: Edited the CO2 values for electric</t>
  </si>
  <si>
    <t>Draft2</t>
  </si>
  <si>
    <t>If customer has participated in any other state or utility sponsored rebate program, related to the technology in this application, please contact a PSEG Long Island Representative to determine whether the project is also eligible under this program.</t>
  </si>
  <si>
    <t>Guidelines: Added language regaurding rebates from multiple utilities and other entities</t>
  </si>
  <si>
    <t>11.15.21</t>
  </si>
  <si>
    <t>Guidelines: Changed submit after date to January 1,2022</t>
  </si>
  <si>
    <t>Draft 3</t>
  </si>
  <si>
    <t>Worksheet: Dragged up formula in column D</t>
  </si>
  <si>
    <t>Project Type</t>
  </si>
  <si>
    <t>11.18.21</t>
  </si>
  <si>
    <t>Customer Information: Added New Construction and Existing Building to the drop down</t>
  </si>
  <si>
    <t>Select …</t>
  </si>
  <si>
    <t>12.07.21</t>
  </si>
  <si>
    <t>Customer Information: Unlocked and Unhide Project Type</t>
  </si>
  <si>
    <t>Draft 5</t>
  </si>
  <si>
    <t>Customer Information: Chnaged Building Type drop down to reference the same as the Worksheet tab</t>
  </si>
  <si>
    <t>HVAC Inputs: Changed Building Type to formula to match Customer Info tab</t>
  </si>
  <si>
    <t>Whole Building ccASHP: Chnaged Building Type to match Customer Info tab</t>
  </si>
  <si>
    <t>Summary: Updated MMBTU per unit to Total MMBTU/Quantity</t>
  </si>
  <si>
    <t>12.29.21</t>
  </si>
  <si>
    <t>Locked worksheet for Launch</t>
  </si>
  <si>
    <t>Fossil Fuel Replacement</t>
  </si>
  <si>
    <t>3. Eligible ccASHP equipment must be  found on the NEEP Cold Climate ASHP list.</t>
  </si>
  <si>
    <t>7.1.22</t>
  </si>
  <si>
    <t>Eligibility Table: Hid VRF table</t>
  </si>
  <si>
    <t>Version 2.0_draft1</t>
  </si>
  <si>
    <t>Eligibility Table: Added Information about Whole Building and VRF being moved to custom and the NYS Clean Heat Calc</t>
  </si>
  <si>
    <t>6.8.22</t>
  </si>
  <si>
    <t>6.9.22</t>
  </si>
  <si>
    <t>Eligibility Table: Adjusted language regarding VRFs</t>
  </si>
  <si>
    <t>draft2</t>
  </si>
  <si>
    <t>References: Removed VRF from Existing Building and NC equipment drop downs</t>
  </si>
  <si>
    <t>draft3</t>
  </si>
  <si>
    <t>HVAC Worksheet: Adjusted Data Validation for Equipment drop down to reference new data ranges</t>
  </si>
  <si>
    <t>Whole Building ccASHP: Made sheet very hidden</t>
  </si>
  <si>
    <t>Eligibility Table: Adjusted Whole Building language</t>
  </si>
  <si>
    <t>Eligibility Table: Removed Whole Building ccASHP table</t>
  </si>
  <si>
    <t>7.5.22</t>
  </si>
  <si>
    <t>Dev Tab: Updated version number to reflect 2.0</t>
  </si>
  <si>
    <t>AW</t>
  </si>
  <si>
    <t>Required Documents: Removed Whole Building specific documents</t>
  </si>
  <si>
    <t>Draft 4</t>
  </si>
  <si>
    <t>Variable Refrigerant Flow (VRF) heat pump installations must go through the custom program and use the NYS Clean Heat Calculator found on the PSEG Long Island website.</t>
  </si>
  <si>
    <t>7.7.22</t>
  </si>
  <si>
    <t>Locked and finalized for launch</t>
  </si>
  <si>
    <t>Version 2.0</t>
  </si>
  <si>
    <t>8.5.22</t>
  </si>
  <si>
    <t>Whole Building ccASHP: Removed remaining data entered</t>
  </si>
  <si>
    <t>Version 2.1_draft1</t>
  </si>
  <si>
    <t>Summary: ccASHP WB measures were removed from the summary table</t>
  </si>
  <si>
    <t>8.26.22</t>
  </si>
  <si>
    <t>Locked for Version 2.1</t>
  </si>
  <si>
    <t>Version 2.1</t>
  </si>
  <si>
    <t>10.12.22</t>
  </si>
  <si>
    <t>Develpement: Updated Year and Version for 2023 Version 1.0</t>
  </si>
  <si>
    <t>Version1.0_draft1</t>
  </si>
  <si>
    <t>11.18.22</t>
  </si>
  <si>
    <t>Develpement: changed effective date</t>
  </si>
  <si>
    <t>Guidelines: Updated naming convention for 23</t>
  </si>
  <si>
    <t>Baseline Cooling Equipement</t>
  </si>
  <si>
    <t>Baseline Heating Equipement</t>
  </si>
  <si>
    <t>References: Added cloumn for New Construction Baseline</t>
  </si>
  <si>
    <t>Baseline New Construction</t>
  </si>
  <si>
    <t>11.21.22</t>
  </si>
  <si>
    <t>References: Changed New Construction to "Baseline New Construction"</t>
  </si>
  <si>
    <t>Calculations: Added "Baseline New Constrution" to BE savings calcs</t>
  </si>
  <si>
    <t>Baseline None</t>
  </si>
  <si>
    <t>Eligibility Table: Removed Eco Dev Room Air Conditioners</t>
  </si>
  <si>
    <t>Eligibility Table: Removed unused columns</t>
  </si>
  <si>
    <t>Rebate Payment Method</t>
  </si>
  <si>
    <t>Rebate Payment Method:</t>
  </si>
  <si>
    <t>Check to Customer</t>
  </si>
  <si>
    <t>Assigned to Contractor</t>
  </si>
  <si>
    <t>Customer Information: Added Rebate Payment Method drop down &amp; removed check box</t>
  </si>
  <si>
    <t>References: Added Rebate payment drop down options</t>
  </si>
  <si>
    <t>12.13.22</t>
  </si>
  <si>
    <t>References: Removed "kWh" from cell G139</t>
  </si>
  <si>
    <t>draft4</t>
  </si>
  <si>
    <t>Calculations: Highlighted AFUE column to note changes</t>
  </si>
  <si>
    <t>References: Removed Room Air Conditioner from Existing Building Drop Down</t>
  </si>
  <si>
    <t>HVAC Worksheet: Chnaged Equipment Type Drop Down to always equal References Column D (No Eco Dev)</t>
  </si>
  <si>
    <t>References: Updated Baseline SEER, EER, and HSPF values for systems &lt;5.4 tons to new 2023 Standards</t>
  </si>
  <si>
    <t>12.20.22</t>
  </si>
  <si>
    <t>Eligibility Table: Updated Heat Pump incentives to $2.00/kWh per approved memo</t>
  </si>
  <si>
    <t>draft5</t>
  </si>
  <si>
    <t>References: Updated Heat Pump incentives 10 $2.00/kWh per approved memo</t>
  </si>
  <si>
    <t>PSEGLI_2023 HVAC Worksheet_VERSION 1.0_draft6.xlsm</t>
  </si>
  <si>
    <t>CCHP151</t>
  </si>
  <si>
    <t xml:space="preserve">Ductless Multi-Split Cold Climate Heat Pumps All Sizes All Types </t>
  </si>
  <si>
    <t>12.27.22</t>
  </si>
  <si>
    <t>HVAC Types: Added Multi Split CCHP</t>
  </si>
  <si>
    <t>References: Added Multi Split CCHP All Types</t>
  </si>
  <si>
    <t>HVAC Worksheet: Updated Data Validation for Sub Caegory dropdown to accommodate Multi Split CCHP</t>
  </si>
  <si>
    <t>12.28.22`</t>
  </si>
  <si>
    <t>Draft 6</t>
  </si>
  <si>
    <t>Draft7</t>
  </si>
  <si>
    <t>Summary Tab: Updated formulas for Total Savings to include ccASHP measures</t>
  </si>
  <si>
    <t>HVAC References: Updated baseline data back to match 2023 DSA TRM - We are awaiting updated CEE Guidance for Efficiency values (Mid 2023) - Once we have that guidance, we will update baselines back to 2023 Code</t>
  </si>
  <si>
    <t>Calcs Tab: Corrected UG kW formula to include Multi Splits</t>
  </si>
  <si>
    <t>PSEGLI_2023 HVAC Worksheet_VERSION 1.0.xlsm</t>
  </si>
  <si>
    <t>1.10.23</t>
  </si>
  <si>
    <t>Locked and final per client approval</t>
  </si>
  <si>
    <t>V1</t>
  </si>
  <si>
    <t>Dev Tab: Updated Program Year to 2023, Current Effective Date to 1.1.24</t>
  </si>
  <si>
    <t>EM</t>
  </si>
  <si>
    <t>Updated all Tabs with new color of Dark Steel Gray and new PSEG logo</t>
  </si>
  <si>
    <t>10.5.23</t>
  </si>
  <si>
    <t>References:</t>
  </si>
  <si>
    <t>Air Conditioners - Air Cooled ≥ 5.4 &amp; &lt; 11.25 Tons: (baselines) EER 11 -&gt; 12.1; IEER 12.7 -&gt; 14.6</t>
  </si>
  <si>
    <t>Air Conditioners - Air Cooled ≥ 11.25 &amp; &lt; 20 Tons: (Baselines) EER 10.8 -&gt; 11.8; IEER 12.2 -&gt; 14.0</t>
  </si>
  <si>
    <t>Air Conditioners - Air Cooled ≥ 20 &amp; &lt; 63 Tons: (Baselines) EER 9.8 -&gt; 11.2; IEER 11.4 -&gt; 13</t>
  </si>
  <si>
    <t>Air Cooled Heat Pumps ≥ 5.4 &amp; &lt; 11.25 Tons: (Baselines) EER 10.8 -&gt; 11.7; IEER 12 -&gt; 13.9; COP 3.3 -&gt; 3.4</t>
  </si>
  <si>
    <t>Air Cooled Heat Pumps ≥ 11.25 &amp; &lt; 20 Tons: (Baselines) EER 10.4 -&gt; 11.4; IEER 11.4 -&gt;13.3; COP 3.2 -&gt; 3.3</t>
  </si>
  <si>
    <t>Air Cooled Heat Pumps ≥ 20 &amp; &lt; 63 Tons: (Baselines) EER 9.3 -&gt; 10.8; IEER 10.4 -&gt; 12.3</t>
  </si>
  <si>
    <t>Ductless Mini-Split AC &lt; 5.4 tons All Types: (Baselines) EER 11.18 -&gt; 11.2</t>
  </si>
  <si>
    <t>Ductless Mini-Split Heat Pumps &lt; 5.4 tons All Types: (Baselines) EER 11.76 -&gt; 11.2; SEER 14-&gt;13</t>
  </si>
  <si>
    <t>VRF Water Source Heat Pumps &lt; 11.25 Tons Multisplit System: (Baselines) IEER n/a -&gt; 16</t>
  </si>
  <si>
    <t>Cold Climate Air Source Heat Pumps All Sizes All Types: (Baselines) EER 11.76 -&gt; 11.8</t>
  </si>
  <si>
    <t>GEO All types: (Baselines) EER 10.8 -&gt; 11.2</t>
  </si>
  <si>
    <t>SB</t>
  </si>
  <si>
    <t>V1_D2</t>
  </si>
  <si>
    <t>ERV/HRV: Toutdoor, heating: 45.93 -&gt; 53.2</t>
  </si>
  <si>
    <t>Operating Days:</t>
  </si>
  <si>
    <t>24/7 - 365: Cooling 2863 -&gt; 2684; Heating 5735 -&gt; 5920</t>
  </si>
  <si>
    <t>Other: Avg of above values</t>
  </si>
  <si>
    <t>Mon - Sun 6AM-12AM: Cooling 2400 -&gt;2152; Heating 4409 -&gt; 4303</t>
  </si>
  <si>
    <t>Mon - Sun 6AM-10PM: Cooling 2057 -&gt;1946; Heating 3673 -&gt; 3796</t>
  </si>
  <si>
    <t>Mon - Fri 7AM-7PM and Sun 11AM-6PM: Cooling 1547 -&gt;1220; Heating 2602 -&gt; 2204</t>
  </si>
  <si>
    <t>Mon - Fri 7AM-7PM: Cooling 1334 -&gt;1081; Heating 2347 -&gt; 1984</t>
  </si>
  <si>
    <t>Mon - Fri 7AM-5PM: Cooling 1046 -&gt;890; Heating 1779 -&gt; 1663</t>
  </si>
  <si>
    <t>NYS TRM V10 (NYC)</t>
  </si>
  <si>
    <t>HVLS:</t>
  </si>
  <si>
    <t>Oper Hours: 5162 -&gt; 4988</t>
  </si>
  <si>
    <t>10.6.23</t>
  </si>
  <si>
    <t>lbf/Fan</t>
  </si>
  <si>
    <t>lbf/kW</t>
  </si>
  <si>
    <t>53" +</t>
  </si>
  <si>
    <t>Fan lbf/kW</t>
  </si>
  <si>
    <t>VFD Control</t>
  </si>
  <si>
    <t>Yes</t>
  </si>
  <si>
    <t>Existing lbf/kW</t>
  </si>
  <si>
    <t>VFD</t>
  </si>
  <si>
    <t>No</t>
  </si>
  <si>
    <r>
      <t>F</t>
    </r>
    <r>
      <rPr>
        <vertAlign val="subscript"/>
        <sz val="10"/>
        <color theme="0"/>
        <rFont val="Arial Narrow"/>
        <family val="2"/>
      </rPr>
      <t>VFD,EE</t>
    </r>
  </si>
  <si>
    <t>Average</t>
  </si>
  <si>
    <t>Saving Calcs updated as per 2024 DSA TRM</t>
  </si>
  <si>
    <t>V1_D3</t>
  </si>
  <si>
    <t>10.9.23</t>
  </si>
  <si>
    <t>BEFLH:</t>
  </si>
  <si>
    <t>NYS TRM V10</t>
  </si>
  <si>
    <t>Updated to Reflect NYS TRM V10 Appendix G</t>
  </si>
  <si>
    <t>Large Comercial category using CAV nonecon</t>
  </si>
  <si>
    <t>V1.D4</t>
  </si>
  <si>
    <t>Applications must be saved as:  24HVACWor_&lt;&lt;&lt;customer Name&gt;&gt;MMDDYYYY.xls</t>
  </si>
  <si>
    <t>Air Conditioners - Air Cooled ≥ 5.4 &amp; &lt; 11.25 Tons: ( Eff baselines) EER 12 -&gt; 12.6; IEER 14.6 -&gt; 17, Tier II EER 12.4 -&gt; 12.6</t>
  </si>
  <si>
    <t>Air Conditioners - Air Cooled ≥ 11.25 &amp; &lt; 20 Tons: (Eff Baselines) EER 12 -&gt; 12.3; IEER 14 -&gt; 16.5, Tier II EER 12 -&gt; 12.3</t>
  </si>
  <si>
    <t>10.31.23</t>
  </si>
  <si>
    <t>Air Cooled Heat Pumps ≥ 5.4 &amp; &lt; 11.25 Tons: (Eff Baselines) EER 11.6 -&gt; 12.1; IEER 13.4 -&gt; 14.5 COP 3.4 -&gt; 3.5</t>
  </si>
  <si>
    <t>V1.D6</t>
  </si>
  <si>
    <t>Air Conditioners - Air Cooled ≥ 20 &amp; &lt; 63 Tons: (Eff Baselines) EER 10.6 -&gt; 11.5; IEER 13 -&gt; 16</t>
  </si>
  <si>
    <t>Air Cooled Heat Pumps ≥ 11.25 &amp; &lt; 20 Tons: (Eff Baselines) EER 10.7 -&gt; 12.4; IEER 12.6 -&gt;13.9; COP 3.3 -&gt; 3.4</t>
  </si>
  <si>
    <t>Air Cooled Heat Pumps ≥ 20 &amp; &lt; 63 Tons: (Eff Baselines) EER 10.1 -&gt; 11.8; IEER 11.6 -&gt; 12.9</t>
  </si>
  <si>
    <t>New Eff baselines from file name "New HVAC Eff Baselines Analysis" in 2024 Drafts HVAC Folder</t>
  </si>
  <si>
    <t>11.3.23</t>
  </si>
  <si>
    <t>Worksheet Tab: Remove "Room" 2 clause from column V to properly calculate Room AC as existing condition savings</t>
  </si>
  <si>
    <t>V1_D8</t>
  </si>
  <si>
    <t>Default Values (ERV/HRV Measure) All values from NY TRM V10</t>
  </si>
  <si>
    <t>Sources: 2024 PSEG LI TRM - For Updated Efficient Data - Data based on historical Captures data</t>
  </si>
  <si>
    <t>12.6 EER
17 IEER</t>
  </si>
  <si>
    <t>12.3 EER
16.5 IEER</t>
  </si>
  <si>
    <t>11.5 EER
16 IEER</t>
  </si>
  <si>
    <t>14.5 IEER
12.1 EER
3.5 COP</t>
  </si>
  <si>
    <t>13.9 IEER
12.4 EER
3.4 COP</t>
  </si>
  <si>
    <t>12.9 IEER
11.8 EER
3.3 COP</t>
  </si>
  <si>
    <t>11.6.23</t>
  </si>
  <si>
    <t>Final and locked per Client Approval</t>
  </si>
  <si>
    <t>Enter the equipment information in the table on the HVAC Worksheet tab.</t>
  </si>
  <si>
    <t xml:space="preserve">For Whole Building Heat Pump projects, refer to the Custom application found on the PSEG Long Island website. </t>
  </si>
  <si>
    <t>12.28.23</t>
  </si>
  <si>
    <t>Created V2.0_Draft1</t>
  </si>
  <si>
    <t>V2-D1</t>
  </si>
  <si>
    <t>Guidelines Tab: Added language that all whole building heat pumps should go Custom</t>
  </si>
  <si>
    <t>HVAC equipment efficiency criteria are based on applicable AHRI standards at AHRI standard conditions using a non-CFC refrigerant.</t>
  </si>
  <si>
    <t>In order for a heat pump to qualify as cold climate, it must appear on the NEEP cold climate list. All PTHPs must also be NEEP listed.</t>
  </si>
  <si>
    <t>ERV/HRV installation only eligible for retrofit purpose only. New installation will not be eligible for the rebate. Please use Ventilation tab to enter the equipment details and to determine the eligible rebate</t>
  </si>
  <si>
    <t>Eligibility Table Tab: Added language that all whole building heat pumps should go Custom and rebates are for Partial Heat Pumps House</t>
  </si>
  <si>
    <t>All Whole Building Heat Pumps must go Custom. The above rebates are for Partial Building Heat Pumps only.</t>
  </si>
  <si>
    <t xml:space="preserve">- Heat Pump Rebates in application are available for Partial Building Heat Pumps only. </t>
  </si>
  <si>
    <t>Projects installing Whole Building heat pumps must go through the custom program and use the NYS Clean Heat Calculator found on the PSEG Long Island website.</t>
  </si>
  <si>
    <t>11.18.23</t>
  </si>
  <si>
    <t>V2.0</t>
  </si>
  <si>
    <t>1.22.2024</t>
  </si>
  <si>
    <t>Project must be started after 1/22/2024 and completed within 180 days for existing buildings and 365 days for new construction, where there is a vacant lot at time of application submittal.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</si>
</sst>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0.0"/>
    <numFmt numFmtId="167" formatCode="0.000"/>
    <numFmt numFmtId="168" formatCode="[$-409]mmmm\ d\,\ yyyy;@"/>
    <numFmt numFmtId="169" formatCode="&quot;$&quot;#,##0"/>
    <numFmt numFmtId="170" formatCode="#,##0.0"/>
    <numFmt numFmtId="171" formatCode="#,##0.000"/>
    <numFmt numFmtId="172" formatCode="&quot;$&quot;#,##0.00"/>
    <numFmt numFmtId="173" formatCode="[&lt;=9999999]###\-####;\(###\)\ ###\-####"/>
    <numFmt numFmtId="174" formatCode="0.000000"/>
    <numFmt numFmtId="175" formatCode="0.00000_);\(0.00000\)"/>
    <numFmt numFmtId="176" formatCode="0.0000000_);\(0.0000000\)"/>
    <numFmt numFmtId="177" formatCode="0.00000"/>
    <numFmt numFmtId="178" formatCode="0.0000"/>
    <numFmt numFmtId="179" formatCode="#,##0.00000"/>
    <numFmt numFmtId="180" formatCode="_(* #,##0_);_(* \(#,##0\);_(* &quot;-&quot;??_);_(@_)"/>
    <numFmt numFmtId="181" formatCode="_(* #,##0.0_);_(* \(#,##0.0\);_(* &quot;-&quot;??_);_(@_)"/>
  </numFmts>
  <fonts count="129" x14ac:knownFonts="1">
    <font>
      <sz val="11"/>
      <color theme="1"/>
      <name val="Calibri"/>
      <family val="2"/>
      <scheme val="minor"/>
    </font>
    <font>
      <sz val="11"/>
      <color indexed="8"/>
      <name val="Calibri"/>
      <family val="2"/>
    </font>
    <font>
      <sz val="10"/>
      <name val="Arial"/>
      <family val="2"/>
    </font>
    <font>
      <sz val="12"/>
      <name val="Arial Narrow"/>
      <family val="2"/>
    </font>
    <font>
      <sz val="11"/>
      <name val="Arial Narrow"/>
      <family val="2"/>
    </font>
    <font>
      <b/>
      <sz val="10"/>
      <name val="Arial Narrow"/>
      <family val="2"/>
    </font>
    <font>
      <sz val="10"/>
      <name val="Arial"/>
      <family val="2"/>
    </font>
    <font>
      <sz val="10"/>
      <name val="Arial Narrow"/>
      <family val="2"/>
    </font>
    <font>
      <b/>
      <sz val="8"/>
      <name val="Arial Narrow"/>
      <family val="2"/>
    </font>
    <font>
      <sz val="8"/>
      <name val="Arial Narrow"/>
      <family val="2"/>
    </font>
    <font>
      <i/>
      <sz val="10"/>
      <color indexed="10"/>
      <name val="Arial Narrow"/>
      <family val="2"/>
    </font>
    <font>
      <u/>
      <sz val="12"/>
      <name val="Arial Narrow"/>
      <family val="2"/>
    </font>
    <font>
      <sz val="7"/>
      <name val="Arial Narrow"/>
      <family val="2"/>
    </font>
    <font>
      <b/>
      <sz val="11"/>
      <name val="Arial Narrow"/>
      <family val="2"/>
    </font>
    <font>
      <sz val="14"/>
      <name val="Arial Narrow"/>
      <family val="2"/>
    </font>
    <font>
      <i/>
      <sz val="12"/>
      <name val="Arial Narrow"/>
      <family val="2"/>
    </font>
    <font>
      <sz val="12"/>
      <color indexed="8"/>
      <name val="Arial Narrow"/>
      <family val="2"/>
    </font>
    <font>
      <sz val="12"/>
      <color indexed="8"/>
      <name val="Arial"/>
      <family val="2"/>
    </font>
    <font>
      <b/>
      <sz val="14"/>
      <name val="Arial Narrow"/>
      <family val="2"/>
    </font>
    <font>
      <b/>
      <sz val="12"/>
      <name val="Arial Narrow"/>
      <family val="2"/>
    </font>
    <font>
      <sz val="12"/>
      <color indexed="8"/>
      <name val="Calibri"/>
      <family val="2"/>
    </font>
    <font>
      <sz val="10"/>
      <color indexed="8"/>
      <name val="Arial"/>
      <family val="2"/>
    </font>
    <font>
      <i/>
      <sz val="18"/>
      <name val="Times New Roman"/>
      <family val="1"/>
    </font>
    <font>
      <b/>
      <sz val="24"/>
      <name val="Times New Roman"/>
      <family val="1"/>
    </font>
    <font>
      <b/>
      <sz val="18"/>
      <color indexed="9"/>
      <name val="Arial Narrow"/>
      <family val="2"/>
    </font>
    <font>
      <sz val="10"/>
      <name val="Calibri"/>
      <family val="2"/>
    </font>
    <font>
      <sz val="9"/>
      <name val="Arial Narrow"/>
      <family val="2"/>
    </font>
    <font>
      <i/>
      <sz val="10"/>
      <name val="Arial Narrow"/>
      <family val="2"/>
    </font>
    <font>
      <b/>
      <sz val="10"/>
      <color indexed="9"/>
      <name val="Arial Narrow"/>
      <family val="2"/>
    </font>
    <font>
      <b/>
      <sz val="9"/>
      <color indexed="81"/>
      <name val="Tahoma"/>
      <family val="2"/>
    </font>
    <font>
      <sz val="9"/>
      <color indexed="81"/>
      <name val="Tahoma"/>
      <family val="2"/>
    </font>
    <font>
      <sz val="10"/>
      <color indexed="8"/>
      <name val="Arial Narrow"/>
      <family val="2"/>
    </font>
    <font>
      <u/>
      <sz val="11"/>
      <name val="Arial Narrow"/>
      <family val="2"/>
    </font>
    <font>
      <b/>
      <sz val="11"/>
      <color indexed="8"/>
      <name val="Arial Narrow"/>
      <family val="2"/>
    </font>
    <font>
      <b/>
      <sz val="9"/>
      <color indexed="8"/>
      <name val="Arial Narrow"/>
      <family val="2"/>
    </font>
    <font>
      <b/>
      <sz val="8"/>
      <color indexed="8"/>
      <name val="Arial Narrow"/>
      <family val="2"/>
    </font>
    <font>
      <b/>
      <vertAlign val="superscript"/>
      <sz val="8"/>
      <color indexed="8"/>
      <name val="Arial Narrow"/>
      <family val="2"/>
    </font>
    <font>
      <b/>
      <i/>
      <sz val="8"/>
      <color indexed="8"/>
      <name val="Arial Narrow"/>
      <family val="2"/>
    </font>
    <font>
      <sz val="10"/>
      <color indexed="8"/>
      <name val="Calibri"/>
      <family val="2"/>
    </font>
    <font>
      <vertAlign val="superscript"/>
      <sz val="12"/>
      <color indexed="8"/>
      <name val="Arial Narrow"/>
      <family val="2"/>
    </font>
    <font>
      <sz val="11"/>
      <color indexed="8"/>
      <name val="Arial Narrow"/>
      <family val="2"/>
    </font>
    <font>
      <sz val="11"/>
      <color theme="1"/>
      <name val="Calibri"/>
      <family val="2"/>
      <scheme val="minor"/>
    </font>
    <font>
      <b/>
      <sz val="11"/>
      <color theme="0"/>
      <name val="Calibri"/>
      <family val="2"/>
      <scheme val="minor"/>
    </font>
    <font>
      <u/>
      <sz val="11"/>
      <color theme="10"/>
      <name val="Calibri"/>
      <family val="2"/>
    </font>
    <font>
      <u/>
      <sz val="11"/>
      <color theme="10"/>
      <name val="Calibri"/>
      <family val="2"/>
      <scheme val="minor"/>
    </font>
    <font>
      <u/>
      <sz val="14.3"/>
      <color theme="10"/>
      <name val="Calibri"/>
      <family val="2"/>
    </font>
    <font>
      <sz val="11"/>
      <color theme="1"/>
      <name val="Arial Narrow"/>
      <family val="2"/>
    </font>
    <font>
      <sz val="10"/>
      <color theme="1"/>
      <name val="Arial Narrow"/>
      <family val="2"/>
    </font>
    <font>
      <b/>
      <sz val="10"/>
      <color theme="1"/>
      <name val="Arial Narrow"/>
      <family val="2"/>
    </font>
    <font>
      <sz val="10"/>
      <color theme="1"/>
      <name val="Calibri"/>
      <family val="2"/>
      <scheme val="minor"/>
    </font>
    <font>
      <sz val="12"/>
      <color theme="1"/>
      <name val="Arial Narrow"/>
      <family val="2"/>
    </font>
    <font>
      <b/>
      <sz val="12"/>
      <color theme="1"/>
      <name val="Arial Narrow"/>
      <family val="2"/>
    </font>
    <font>
      <i/>
      <sz val="12"/>
      <color theme="1"/>
      <name val="Arial Narrow"/>
      <family val="2"/>
    </font>
    <font>
      <sz val="10"/>
      <color rgb="FFFF0000"/>
      <name val="Arial Narrow"/>
      <family val="2"/>
    </font>
    <font>
      <b/>
      <sz val="14"/>
      <color rgb="FF00B050"/>
      <name val="Arial Narrow"/>
      <family val="2"/>
    </font>
    <font>
      <b/>
      <sz val="14"/>
      <color theme="0"/>
      <name val="Arial Narrow"/>
      <family val="2"/>
    </font>
    <font>
      <b/>
      <sz val="14"/>
      <color rgb="FF0054CC"/>
      <name val="Arial Narrow"/>
      <family val="2"/>
    </font>
    <font>
      <sz val="11"/>
      <color rgb="FF0070C0"/>
      <name val="Arial Narrow"/>
      <family val="2"/>
    </font>
    <font>
      <sz val="10"/>
      <color theme="0"/>
      <name val="Arial Narrow"/>
      <family val="2"/>
    </font>
    <font>
      <b/>
      <sz val="10"/>
      <color theme="0"/>
      <name val="Arial Narrow"/>
      <family val="2"/>
    </font>
    <font>
      <b/>
      <i/>
      <sz val="10"/>
      <color theme="0"/>
      <name val="Arial Narrow"/>
      <family val="2"/>
    </font>
    <font>
      <i/>
      <sz val="10"/>
      <color theme="0"/>
      <name val="Arial Narrow"/>
      <family val="2"/>
    </font>
    <font>
      <sz val="11"/>
      <color indexed="8"/>
      <name val="Calibri"/>
      <family val="2"/>
      <scheme val="minor"/>
    </font>
    <font>
      <b/>
      <sz val="11"/>
      <name val="Calibri"/>
      <family val="2"/>
      <scheme val="minor"/>
    </font>
    <font>
      <b/>
      <sz val="11"/>
      <color theme="1"/>
      <name val="Arial Narrow"/>
      <family val="2"/>
    </font>
    <font>
      <b/>
      <i/>
      <sz val="14"/>
      <color theme="1"/>
      <name val="Arial Narrow"/>
      <family val="2"/>
    </font>
    <font>
      <b/>
      <sz val="22"/>
      <color theme="0"/>
      <name val="Arial Narrow"/>
      <family val="2"/>
    </font>
    <font>
      <i/>
      <sz val="18"/>
      <color rgb="FFFFFF00"/>
      <name val="Arial Narrow"/>
      <family val="2"/>
    </font>
    <font>
      <sz val="11"/>
      <color rgb="FFFF00FF"/>
      <name val="Calibri"/>
      <family val="2"/>
      <scheme val="minor"/>
    </font>
    <font>
      <sz val="11"/>
      <color rgb="FFFF33CC"/>
      <name val="Calibri"/>
      <family val="2"/>
      <scheme val="minor"/>
    </font>
    <font>
      <i/>
      <sz val="11"/>
      <color theme="1"/>
      <name val="Arial Narrow"/>
      <family val="2"/>
    </font>
    <font>
      <sz val="10"/>
      <color theme="1"/>
      <name val="Calibri"/>
      <family val="2"/>
    </font>
    <font>
      <b/>
      <sz val="24"/>
      <color theme="0"/>
      <name val="Times New Roman"/>
      <family val="1"/>
    </font>
    <font>
      <i/>
      <sz val="18"/>
      <color theme="0"/>
      <name val="Times New Roman"/>
      <family val="1"/>
    </font>
    <font>
      <sz val="14"/>
      <color theme="1"/>
      <name val="Arial Narrow"/>
      <family val="2"/>
    </font>
    <font>
      <i/>
      <sz val="18"/>
      <color theme="0"/>
      <name val="Arial Narrow"/>
      <family val="2"/>
    </font>
    <font>
      <sz val="8"/>
      <color theme="1"/>
      <name val="Arial Narrow"/>
      <family val="2"/>
    </font>
    <font>
      <sz val="10"/>
      <color theme="1" tint="0.499984740745262"/>
      <name val="Arial Narrow"/>
      <family val="2"/>
    </font>
    <font>
      <sz val="11"/>
      <color rgb="FFF85208"/>
      <name val="Arial Narrow"/>
      <family val="2"/>
    </font>
    <font>
      <i/>
      <sz val="10"/>
      <color theme="1"/>
      <name val="Arial Narrow"/>
      <family val="2"/>
    </font>
    <font>
      <b/>
      <sz val="18"/>
      <color rgb="FF33CC33"/>
      <name val="Arial Narrow"/>
      <family val="2"/>
    </font>
    <font>
      <b/>
      <sz val="18"/>
      <color rgb="FF0070C0"/>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name val="Calibri"/>
      <family val="2"/>
      <scheme val="minor"/>
    </font>
    <font>
      <sz val="11"/>
      <color rgb="FF33CC33"/>
      <name val="Calibri"/>
      <family val="2"/>
      <scheme val="minor"/>
    </font>
    <font>
      <b/>
      <sz val="14"/>
      <color rgb="FFF85208"/>
      <name val="Arial Narrow"/>
      <family val="2"/>
    </font>
    <font>
      <i/>
      <sz val="16"/>
      <color rgb="FFF85208"/>
      <name val="Arial Narrow"/>
      <family val="2"/>
    </font>
    <font>
      <sz val="11"/>
      <color rgb="FFFF0000"/>
      <name val="Arial Narrow"/>
      <family val="2"/>
    </font>
    <font>
      <i/>
      <sz val="12"/>
      <color rgb="FFF85208"/>
      <name val="Arial Narrow"/>
      <family val="2"/>
    </font>
    <font>
      <b/>
      <sz val="11"/>
      <color theme="0"/>
      <name val="Arial Narrow"/>
      <family val="2"/>
    </font>
    <font>
      <i/>
      <sz val="11"/>
      <color theme="0" tint="-0.14999847407452621"/>
      <name val="Arial Narrow"/>
      <family val="2"/>
    </font>
    <font>
      <u/>
      <sz val="14"/>
      <color theme="10"/>
      <name val="Calibri"/>
      <family val="2"/>
      <scheme val="minor"/>
    </font>
    <font>
      <b/>
      <sz val="9"/>
      <color theme="1"/>
      <name val="Arial Narrow"/>
      <family val="2"/>
    </font>
    <font>
      <b/>
      <sz val="24"/>
      <color rgb="FF002060"/>
      <name val="Calibri"/>
      <family val="2"/>
      <scheme val="minor"/>
    </font>
    <font>
      <b/>
      <sz val="11"/>
      <color rgb="FFFF0000"/>
      <name val="Arial Narrow"/>
      <family val="2"/>
    </font>
    <font>
      <sz val="8"/>
      <color rgb="FF000000"/>
      <name val="Tahoma"/>
      <family val="2"/>
    </font>
    <font>
      <b/>
      <u/>
      <sz val="10"/>
      <color theme="1"/>
      <name val="Arial Narrow"/>
      <family val="2"/>
    </font>
    <font>
      <sz val="11"/>
      <color theme="0"/>
      <name val="Arial Narrow"/>
      <family val="2"/>
    </font>
    <font>
      <sz val="22"/>
      <color theme="0"/>
      <name val="Arial Narrow"/>
      <family val="2"/>
    </font>
    <font>
      <i/>
      <sz val="16"/>
      <color theme="0"/>
      <name val="Times New Roman"/>
      <family val="1"/>
    </font>
    <font>
      <sz val="8"/>
      <name val="Calibri"/>
      <family val="2"/>
      <scheme val="minor"/>
    </font>
    <font>
      <b/>
      <sz val="8"/>
      <name val="Wingdings"/>
      <charset val="2"/>
    </font>
    <font>
      <sz val="8"/>
      <color rgb="FF000000"/>
      <name val="Segoe UI"/>
      <family val="2"/>
    </font>
    <font>
      <sz val="28"/>
      <color theme="0"/>
      <name val="Times New Roman"/>
      <family val="1"/>
    </font>
    <font>
      <b/>
      <sz val="28"/>
      <color theme="0"/>
      <name val="Times New Roman"/>
      <family val="1"/>
    </font>
    <font>
      <i/>
      <sz val="22"/>
      <color theme="0"/>
      <name val="Times New Roman"/>
      <family val="1"/>
    </font>
    <font>
      <sz val="11"/>
      <name val="Calibri"/>
      <family val="2"/>
    </font>
    <font>
      <sz val="11"/>
      <color theme="1"/>
      <name val="Calibri"/>
      <family val="2"/>
    </font>
    <font>
      <sz val="8.8000000000000007"/>
      <color theme="1"/>
      <name val="Arial Narrow"/>
      <family val="2"/>
    </font>
    <font>
      <sz val="12"/>
      <color theme="1"/>
      <name val="Calibri"/>
      <family val="2"/>
    </font>
    <font>
      <sz val="9.6"/>
      <color theme="1"/>
      <name val="Arial Narrow"/>
      <family val="2"/>
    </font>
    <font>
      <b/>
      <sz val="12"/>
      <color theme="0"/>
      <name val="Arial Narrow"/>
      <family val="2"/>
    </font>
    <font>
      <b/>
      <sz val="14"/>
      <color rgb="FF142D42"/>
      <name val="Arial Narrow"/>
      <family val="2"/>
    </font>
    <font>
      <sz val="11"/>
      <color rgb="FF142D42"/>
      <name val="Arial Narrow"/>
      <family val="2"/>
    </font>
    <font>
      <b/>
      <sz val="7"/>
      <color rgb="FF142D42"/>
      <name val="Arial Narrow"/>
      <family val="2"/>
    </font>
    <font>
      <sz val="7"/>
      <color rgb="FF142D42"/>
      <name val="Arial Narrow"/>
      <family val="2"/>
    </font>
    <font>
      <i/>
      <sz val="16"/>
      <color rgb="FF142D42"/>
      <name val="Arial Narrow"/>
      <family val="2"/>
    </font>
    <font>
      <b/>
      <sz val="26"/>
      <color theme="0"/>
      <name val="Times New Roman"/>
      <family val="1"/>
    </font>
    <font>
      <b/>
      <sz val="14"/>
      <color theme="1"/>
      <name val="Arial Narrow"/>
      <family val="2"/>
    </font>
    <font>
      <i/>
      <sz val="8"/>
      <color theme="1"/>
      <name val="Arial Narrow"/>
      <family val="2"/>
    </font>
    <font>
      <vertAlign val="subscript"/>
      <sz val="10"/>
      <color theme="0"/>
      <name val="Arial Narrow"/>
      <family val="2"/>
    </font>
    <font>
      <i/>
      <sz val="9"/>
      <color theme="1"/>
      <name val="Arial Narrow"/>
      <family val="2"/>
    </font>
  </fonts>
  <fills count="28">
    <fill>
      <patternFill patternType="none"/>
    </fill>
    <fill>
      <patternFill patternType="gray125"/>
    </fill>
    <fill>
      <patternFill patternType="solid">
        <fgColor indexed="2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54CC"/>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bgColor indexed="30"/>
      </patternFill>
    </fill>
    <fill>
      <patternFill patternType="solid">
        <fgColor rgb="FFF85208"/>
        <bgColor indexed="64"/>
      </patternFill>
    </fill>
    <fill>
      <patternFill patternType="solid">
        <fgColor rgb="FFFFFF00"/>
        <bgColor indexed="64"/>
      </patternFill>
    </fill>
    <fill>
      <patternFill patternType="solid">
        <fgColor rgb="FFFFFF00"/>
        <bgColor indexed="30"/>
      </patternFill>
    </fill>
    <fill>
      <patternFill patternType="solid">
        <fgColor theme="1" tint="0.499984740745262"/>
        <bgColor indexed="64"/>
      </patternFill>
    </fill>
    <fill>
      <patternFill patternType="solid">
        <fgColor rgb="FFFF99FF"/>
        <bgColor indexed="64"/>
      </patternFill>
    </fill>
    <fill>
      <patternFill patternType="solid">
        <fgColor rgb="FF6A5B4E"/>
        <bgColor indexed="64"/>
      </patternFill>
    </fill>
    <fill>
      <gradientFill>
        <stop position="0">
          <color rgb="FF0054CC"/>
        </stop>
        <stop position="1">
          <color theme="0"/>
        </stop>
      </gradientFill>
    </fill>
    <fill>
      <patternFill patternType="solid">
        <fgColor theme="0"/>
        <bgColor indexed="64"/>
      </patternFill>
    </fill>
    <fill>
      <patternFill patternType="solid">
        <fgColor rgb="FF063F6E"/>
        <bgColor indexed="64"/>
      </patternFill>
    </fill>
    <fill>
      <patternFill patternType="solid">
        <fgColor rgb="FF063F6E"/>
        <bgColor indexed="30"/>
      </patternFill>
    </fill>
    <fill>
      <patternFill patternType="solid">
        <fgColor theme="2" tint="-0.499984740745262"/>
        <bgColor indexed="64"/>
      </patternFill>
    </fill>
    <fill>
      <patternFill patternType="solid">
        <fgColor rgb="FF142D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00B050"/>
        <bgColor indexed="64"/>
      </patternFill>
    </fill>
    <fill>
      <patternFill patternType="solid">
        <fgColor theme="8" tint="0.79998168889431442"/>
        <bgColor indexed="64"/>
      </patternFill>
    </fill>
  </fills>
  <borders count="7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top/>
      <bottom style="medium">
        <color rgb="FFF85208"/>
      </bottom>
      <diagonal/>
    </border>
    <border>
      <left/>
      <right/>
      <top style="thin">
        <color indexed="64"/>
      </top>
      <bottom style="medium">
        <color rgb="FFF85208"/>
      </bottom>
      <diagonal/>
    </border>
    <border>
      <left/>
      <right/>
      <top/>
      <bottom style="medium">
        <color theme="9" tint="-0.24994659260841701"/>
      </bottom>
      <diagonal/>
    </border>
    <border>
      <left style="thin">
        <color indexed="22"/>
      </left>
      <right style="thin">
        <color indexed="22"/>
      </right>
      <top/>
      <bottom/>
      <diagonal/>
    </border>
    <border>
      <left style="thin">
        <color auto="1"/>
      </left>
      <right style="thin">
        <color auto="1"/>
      </right>
      <top/>
      <bottom/>
      <diagonal/>
    </border>
    <border>
      <left/>
      <right/>
      <top/>
      <bottom style="thick">
        <color rgb="FFD94F00"/>
      </bottom>
      <diagonal/>
    </border>
    <border>
      <left style="thin">
        <color indexed="64"/>
      </left>
      <right/>
      <top/>
      <bottom/>
      <diagonal/>
    </border>
    <border>
      <left/>
      <right/>
      <top style="thick">
        <color rgb="FFF85208"/>
      </top>
      <bottom/>
      <diagonal/>
    </border>
    <border>
      <left/>
      <right/>
      <top style="medium">
        <color rgb="FFF85208"/>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medium">
        <color indexed="64"/>
      </right>
      <top/>
      <bottom/>
      <diagonal/>
    </border>
    <border>
      <left style="thin">
        <color indexed="64"/>
      </left>
      <right/>
      <top/>
      <bottom/>
      <diagonal/>
    </border>
    <border>
      <left style="thin">
        <color indexed="64"/>
      </left>
      <right/>
      <top/>
      <bottom style="medium">
        <color indexed="64"/>
      </bottom>
      <diagonal/>
    </border>
  </borders>
  <cellStyleXfs count="69">
    <xf numFmtId="0" fontId="0" fillId="0" borderId="0"/>
    <xf numFmtId="0" fontId="6" fillId="0" borderId="0"/>
    <xf numFmtId="0" fontId="2"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2" fillId="0" borderId="0"/>
    <xf numFmtId="0" fontId="41" fillId="0" borderId="0"/>
    <xf numFmtId="0" fontId="2" fillId="0" borderId="0"/>
    <xf numFmtId="0" fontId="2" fillId="0" borderId="0"/>
    <xf numFmtId="0" fontId="2" fillId="0" borderId="0"/>
    <xf numFmtId="0" fontId="21" fillId="0" borderId="0"/>
    <xf numFmtId="0" fontId="21" fillId="0" borderId="0"/>
    <xf numFmtId="0" fontId="2" fillId="0" borderId="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1227">
    <xf numFmtId="0" fontId="0" fillId="0" borderId="0" xfId="0"/>
    <xf numFmtId="0" fontId="3" fillId="0" borderId="0" xfId="52" applyFont="1" applyAlignment="1" applyProtection="1">
      <alignment horizontal="right"/>
      <protection hidden="1"/>
    </xf>
    <xf numFmtId="0" fontId="46" fillId="0" borderId="0" xfId="0" applyFont="1" applyProtection="1">
      <protection hidden="1"/>
    </xf>
    <xf numFmtId="0" fontId="4" fillId="0" borderId="0" xfId="52" applyFont="1" applyProtection="1">
      <protection hidden="1"/>
    </xf>
    <xf numFmtId="0" fontId="4" fillId="0" borderId="0" xfId="52" applyFont="1" applyAlignment="1" applyProtection="1">
      <alignment horizontal="right"/>
      <protection hidden="1"/>
    </xf>
    <xf numFmtId="0" fontId="46" fillId="0" borderId="0" xfId="0" applyFont="1"/>
    <xf numFmtId="0" fontId="7" fillId="3" borderId="2" xfId="0" applyFont="1" applyFill="1" applyBorder="1" applyProtection="1">
      <protection hidden="1"/>
    </xf>
    <xf numFmtId="0" fontId="7" fillId="0" borderId="2" xfId="0" applyFont="1" applyBorder="1" applyProtection="1">
      <protection hidden="1"/>
    </xf>
    <xf numFmtId="0" fontId="47" fillId="0" borderId="0" xfId="0" applyFont="1"/>
    <xf numFmtId="0" fontId="48" fillId="0" borderId="0" xfId="0" applyFont="1"/>
    <xf numFmtId="0" fontId="7" fillId="0" borderId="0" xfId="52" applyFont="1" applyProtection="1">
      <protection hidden="1"/>
    </xf>
    <xf numFmtId="0" fontId="47" fillId="0" borderId="0" xfId="0" applyFont="1" applyProtection="1">
      <protection hidden="1"/>
    </xf>
    <xf numFmtId="0" fontId="7" fillId="0" borderId="0" xfId="52" applyFont="1" applyAlignment="1" applyProtection="1">
      <alignment horizontal="right"/>
      <protection hidden="1"/>
    </xf>
    <xf numFmtId="166" fontId="47" fillId="0" borderId="4" xfId="3" applyNumberFormat="1" applyFont="1" applyBorder="1" applyAlignment="1" applyProtection="1">
      <alignment horizontal="center"/>
      <protection hidden="1"/>
    </xf>
    <xf numFmtId="1" fontId="47" fillId="0" borderId="5" xfId="3" applyNumberFormat="1" applyFont="1" applyBorder="1" applyAlignment="1" applyProtection="1">
      <alignment horizontal="center"/>
      <protection hidden="1"/>
    </xf>
    <xf numFmtId="166" fontId="47" fillId="0" borderId="3" xfId="3" applyNumberFormat="1" applyFont="1" applyBorder="1" applyAlignment="1" applyProtection="1">
      <alignment horizontal="center"/>
      <protection hidden="1"/>
    </xf>
    <xf numFmtId="166" fontId="47" fillId="0" borderId="5" xfId="0" applyNumberFormat="1" applyFont="1" applyBorder="1" applyAlignment="1" applyProtection="1">
      <alignment horizontal="center"/>
      <protection hidden="1"/>
    </xf>
    <xf numFmtId="0" fontId="47" fillId="0" borderId="6" xfId="0" applyFont="1" applyBorder="1"/>
    <xf numFmtId="0" fontId="47" fillId="0" borderId="7" xfId="0" applyFont="1" applyBorder="1" applyAlignment="1">
      <alignment horizontal="center"/>
    </xf>
    <xf numFmtId="0" fontId="47" fillId="0" borderId="0" xfId="0" applyFont="1" applyAlignment="1">
      <alignment horizontal="center"/>
    </xf>
    <xf numFmtId="164" fontId="47" fillId="0" borderId="0" xfId="29" applyNumberFormat="1" applyFont="1" applyAlignment="1">
      <alignment horizontal="center"/>
    </xf>
    <xf numFmtId="0" fontId="47" fillId="0" borderId="3" xfId="0" applyFont="1" applyBorder="1" applyAlignment="1" applyProtection="1">
      <alignment horizontal="left"/>
      <protection hidden="1"/>
    </xf>
    <xf numFmtId="0" fontId="50" fillId="0" borderId="0" xfId="0" applyFont="1"/>
    <xf numFmtId="0" fontId="51" fillId="0" borderId="0" xfId="0" applyFont="1"/>
    <xf numFmtId="0" fontId="50" fillId="0" borderId="0" xfId="0" applyFont="1" applyAlignment="1">
      <alignment horizontal="left"/>
    </xf>
    <xf numFmtId="49" fontId="50" fillId="0" borderId="0" xfId="0" applyNumberFormat="1" applyFont="1" applyAlignment="1">
      <alignment horizontal="left"/>
    </xf>
    <xf numFmtId="49" fontId="50" fillId="4" borderId="8" xfId="0" applyNumberFormat="1" applyFont="1" applyFill="1" applyBorder="1" applyAlignment="1">
      <alignment horizontal="right"/>
    </xf>
    <xf numFmtId="0" fontId="50" fillId="0" borderId="9" xfId="0" applyFont="1" applyBorder="1"/>
    <xf numFmtId="0" fontId="50" fillId="0" borderId="9" xfId="0" applyFont="1" applyBorder="1" applyAlignment="1">
      <alignment horizontal="left"/>
    </xf>
    <xf numFmtId="49" fontId="50" fillId="0" borderId="9" xfId="0" applyNumberFormat="1" applyFont="1" applyBorder="1" applyAlignment="1">
      <alignment horizontal="left"/>
    </xf>
    <xf numFmtId="49" fontId="50" fillId="0" borderId="0" xfId="0" quotePrefix="1" applyNumberFormat="1" applyFont="1" applyAlignment="1">
      <alignment horizontal="left"/>
    </xf>
    <xf numFmtId="0" fontId="50" fillId="0" borderId="0" xfId="0" applyFont="1" applyAlignment="1" applyProtection="1">
      <alignment horizontal="right"/>
      <protection hidden="1"/>
    </xf>
    <xf numFmtId="0" fontId="47" fillId="0" borderId="10" xfId="0" applyFont="1" applyBorder="1" applyProtection="1">
      <protection hidden="1"/>
    </xf>
    <xf numFmtId="0" fontId="47" fillId="0" borderId="11" xfId="59" applyFont="1" applyBorder="1" applyAlignment="1" applyProtection="1">
      <alignment horizontal="left"/>
      <protection hidden="1"/>
    </xf>
    <xf numFmtId="0" fontId="47" fillId="0" borderId="11" xfId="0" applyFont="1" applyBorder="1" applyProtection="1">
      <protection hidden="1"/>
    </xf>
    <xf numFmtId="0" fontId="47" fillId="0" borderId="0" xfId="0" applyFont="1" applyAlignment="1" applyProtection="1">
      <alignment horizontal="center" vertical="center"/>
      <protection hidden="1"/>
    </xf>
    <xf numFmtId="0" fontId="47" fillId="0" borderId="10" xfId="0" applyFont="1" applyBorder="1" applyAlignment="1" applyProtection="1">
      <alignment horizontal="center"/>
      <protection hidden="1"/>
    </xf>
    <xf numFmtId="0" fontId="47" fillId="0" borderId="9" xfId="0" applyFont="1" applyBorder="1" applyProtection="1">
      <protection hidden="1"/>
    </xf>
    <xf numFmtId="0" fontId="47" fillId="0" borderId="11" xfId="0" applyFont="1" applyBorder="1" applyAlignment="1" applyProtection="1">
      <alignment horizontal="center"/>
      <protection hidden="1"/>
    </xf>
    <xf numFmtId="0" fontId="47" fillId="0" borderId="12" xfId="0" applyFont="1" applyBorder="1" applyProtection="1">
      <protection hidden="1"/>
    </xf>
    <xf numFmtId="0" fontId="47" fillId="0" borderId="13" xfId="0" applyFont="1" applyBorder="1" applyProtection="1">
      <protection hidden="1"/>
    </xf>
    <xf numFmtId="0" fontId="47" fillId="0" borderId="14" xfId="0" applyFont="1" applyBorder="1" applyProtection="1">
      <protection hidden="1"/>
    </xf>
    <xf numFmtId="0" fontId="47" fillId="0" borderId="6" xfId="0" applyFont="1" applyBorder="1" applyProtection="1">
      <protection hidden="1"/>
    </xf>
    <xf numFmtId="0" fontId="47" fillId="0" borderId="11" xfId="59" applyFont="1" applyBorder="1" applyProtection="1">
      <protection hidden="1"/>
    </xf>
    <xf numFmtId="0" fontId="48" fillId="0" borderId="0" xfId="0" applyFont="1" applyProtection="1">
      <protection hidden="1"/>
    </xf>
    <xf numFmtId="0" fontId="47" fillId="0" borderId="3" xfId="0" applyFont="1" applyBorder="1" applyProtection="1">
      <protection hidden="1"/>
    </xf>
    <xf numFmtId="14" fontId="52" fillId="0" borderId="0" xfId="0" applyNumberFormat="1" applyFont="1"/>
    <xf numFmtId="0" fontId="52" fillId="0" borderId="0" xfId="0" applyFont="1" applyAlignment="1">
      <alignment horizontal="left"/>
    </xf>
    <xf numFmtId="49" fontId="52" fillId="0" borderId="0" xfId="0" applyNumberFormat="1" applyFont="1" applyAlignment="1">
      <alignment horizontal="left"/>
    </xf>
    <xf numFmtId="14" fontId="52" fillId="0" borderId="0" xfId="0" applyNumberFormat="1" applyFont="1" applyProtection="1">
      <protection hidden="1"/>
    </xf>
    <xf numFmtId="0" fontId="52" fillId="0" borderId="0" xfId="0" applyFont="1" applyAlignment="1" applyProtection="1">
      <alignment horizontal="left"/>
      <protection hidden="1"/>
    </xf>
    <xf numFmtId="49" fontId="52" fillId="0" borderId="0" xfId="0" applyNumberFormat="1" applyFont="1" applyAlignment="1" applyProtection="1">
      <alignment horizontal="left"/>
      <protection hidden="1"/>
    </xf>
    <xf numFmtId="0" fontId="52" fillId="0" borderId="0" xfId="0" applyFont="1" applyProtection="1">
      <protection hidden="1"/>
    </xf>
    <xf numFmtId="0" fontId="52" fillId="0" borderId="0" xfId="0" applyFont="1"/>
    <xf numFmtId="0" fontId="7" fillId="0" borderId="0" xfId="52" applyFont="1" applyAlignment="1">
      <alignment vertical="center"/>
    </xf>
    <xf numFmtId="0" fontId="7" fillId="0" borderId="0" xfId="52" applyFont="1"/>
    <xf numFmtId="0" fontId="5" fillId="0" borderId="0" xfId="52" applyFont="1" applyAlignment="1">
      <alignment vertical="center"/>
    </xf>
    <xf numFmtId="0" fontId="53" fillId="0" borderId="0" xfId="52" applyFont="1"/>
    <xf numFmtId="0" fontId="10" fillId="0" borderId="0" xfId="52" applyFont="1"/>
    <xf numFmtId="0" fontId="7" fillId="0" borderId="0" xfId="52" applyFont="1" applyAlignment="1">
      <alignment vertical="center" wrapText="1"/>
    </xf>
    <xf numFmtId="0" fontId="5" fillId="0" borderId="0" xfId="52" applyFont="1" applyProtection="1">
      <protection hidden="1"/>
    </xf>
    <xf numFmtId="1" fontId="47" fillId="0" borderId="5" xfId="0" applyNumberFormat="1" applyFont="1" applyBorder="1" applyAlignment="1" applyProtection="1">
      <alignment horizontal="center"/>
      <protection hidden="1"/>
    </xf>
    <xf numFmtId="0" fontId="47" fillId="0" borderId="3" xfId="0" applyFont="1" applyBorder="1" applyAlignment="1" applyProtection="1">
      <alignment horizontal="center"/>
      <protection hidden="1"/>
    </xf>
    <xf numFmtId="164" fontId="47" fillId="0" borderId="4" xfId="29" applyNumberFormat="1" applyFont="1" applyBorder="1" applyAlignment="1" applyProtection="1">
      <alignment horizontal="center"/>
      <protection hidden="1"/>
    </xf>
    <xf numFmtId="0" fontId="50" fillId="0" borderId="0" xfId="0" applyFont="1" applyAlignment="1">
      <alignment horizontal="left" wrapText="1"/>
    </xf>
    <xf numFmtId="0" fontId="47" fillId="0" borderId="11" xfId="0" applyFont="1" applyBorder="1"/>
    <xf numFmtId="0" fontId="47" fillId="0" borderId="13" xfId="0" applyFont="1" applyBorder="1" applyAlignment="1" applyProtection="1">
      <alignment horizontal="center"/>
      <protection hidden="1"/>
    </xf>
    <xf numFmtId="0" fontId="47" fillId="0" borderId="0" xfId="0" applyFont="1" applyAlignment="1" applyProtection="1">
      <alignment horizontal="center"/>
      <protection hidden="1"/>
    </xf>
    <xf numFmtId="0" fontId="12" fillId="0" borderId="0" xfId="52" applyFont="1" applyAlignment="1">
      <alignment horizontal="center" vertical="center" wrapText="1"/>
    </xf>
    <xf numFmtId="0" fontId="4" fillId="0" borderId="0" xfId="52" applyFont="1" applyAlignment="1">
      <alignment horizontal="left" vertical="center"/>
    </xf>
    <xf numFmtId="0" fontId="4" fillId="0" borderId="5" xfId="52" applyFont="1" applyBorder="1" applyAlignment="1">
      <alignment horizontal="left" vertical="center"/>
    </xf>
    <xf numFmtId="0" fontId="4" fillId="0" borderId="0" xfId="52" applyFont="1" applyAlignment="1">
      <alignment vertical="center"/>
    </xf>
    <xf numFmtId="0" fontId="13" fillId="0" borderId="0" xfId="52" applyFont="1" applyAlignment="1">
      <alignment horizontal="left" vertical="center"/>
    </xf>
    <xf numFmtId="0" fontId="14" fillId="0" borderId="0" xfId="52" applyFont="1"/>
    <xf numFmtId="0" fontId="54" fillId="0" borderId="0" xfId="52" applyFont="1" applyAlignment="1">
      <alignment horizontal="left" vertical="center" wrapText="1"/>
    </xf>
    <xf numFmtId="0" fontId="9" fillId="0" borderId="0" xfId="52" applyFont="1" applyAlignment="1">
      <alignment horizontal="center" vertical="center" wrapText="1"/>
    </xf>
    <xf numFmtId="0" fontId="8" fillId="0" borderId="0" xfId="52" applyFont="1" applyAlignment="1">
      <alignment horizontal="right" vertical="center"/>
    </xf>
    <xf numFmtId="0" fontId="13" fillId="0" borderId="0" xfId="52" applyFont="1" applyAlignment="1">
      <alignment vertical="center"/>
    </xf>
    <xf numFmtId="0" fontId="14" fillId="0" borderId="0" xfId="52" applyFont="1" applyAlignment="1">
      <alignment vertical="center"/>
    </xf>
    <xf numFmtId="0" fontId="55" fillId="0" borderId="0" xfId="52" applyFont="1" applyAlignment="1">
      <alignment horizontal="center" vertical="center" wrapText="1"/>
    </xf>
    <xf numFmtId="0" fontId="46" fillId="0" borderId="0" xfId="0" applyFont="1" applyAlignment="1">
      <alignment horizontal="left" vertical="center"/>
    </xf>
    <xf numFmtId="0" fontId="56" fillId="0" borderId="0" xfId="52" applyFont="1" applyAlignment="1">
      <alignment horizontal="left" vertical="center" wrapText="1"/>
    </xf>
    <xf numFmtId="0" fontId="57" fillId="0" borderId="0" xfId="0" applyFont="1"/>
    <xf numFmtId="0" fontId="4" fillId="0" borderId="0" xfId="52" applyFont="1" applyAlignment="1">
      <alignment horizontal="center" vertical="center"/>
    </xf>
    <xf numFmtId="0" fontId="4" fillId="0" borderId="0" xfId="52" applyFont="1" applyAlignment="1">
      <alignment horizontal="center" vertical="center" wrapText="1"/>
    </xf>
    <xf numFmtId="5" fontId="4" fillId="0" borderId="0" xfId="30" applyNumberFormat="1" applyFont="1" applyAlignment="1">
      <alignment horizontal="center" vertical="center"/>
    </xf>
    <xf numFmtId="0" fontId="4" fillId="3" borderId="18" xfId="52" applyFont="1" applyFill="1" applyBorder="1" applyAlignment="1">
      <alignment horizontal="center" vertical="center" wrapText="1"/>
    </xf>
    <xf numFmtId="0" fontId="4" fillId="3" borderId="18" xfId="52" applyFont="1" applyFill="1" applyBorder="1" applyAlignment="1">
      <alignment horizontal="center" vertical="center"/>
    </xf>
    <xf numFmtId="0" fontId="47" fillId="0" borderId="4" xfId="0" applyFont="1" applyBorder="1" applyAlignment="1" applyProtection="1">
      <alignment horizontal="center"/>
      <protection hidden="1"/>
    </xf>
    <xf numFmtId="0" fontId="47" fillId="0" borderId="4" xfId="0" applyFont="1" applyBorder="1" applyAlignment="1" applyProtection="1">
      <alignment horizontal="left"/>
      <protection hidden="1"/>
    </xf>
    <xf numFmtId="0" fontId="55" fillId="0" borderId="0" xfId="52" applyFont="1" applyAlignment="1">
      <alignment horizontal="left" vertical="center" wrapText="1"/>
    </xf>
    <xf numFmtId="164" fontId="4" fillId="0" borderId="19" xfId="29" applyNumberFormat="1" applyFont="1" applyBorder="1" applyAlignment="1">
      <alignment horizontal="center" vertical="center"/>
    </xf>
    <xf numFmtId="170" fontId="4" fillId="0" borderId="18" xfId="52" applyNumberFormat="1" applyFont="1" applyBorder="1" applyAlignment="1">
      <alignment horizontal="center" vertical="center" wrapText="1"/>
    </xf>
    <xf numFmtId="171" fontId="4" fillId="0" borderId="18" xfId="52" applyNumberFormat="1" applyFont="1" applyBorder="1" applyAlignment="1">
      <alignment horizontal="center" vertical="center" wrapText="1"/>
    </xf>
    <xf numFmtId="170" fontId="4" fillId="0" borderId="2" xfId="52" applyNumberFormat="1" applyFont="1" applyBorder="1" applyAlignment="1">
      <alignment horizontal="center" vertical="center"/>
    </xf>
    <xf numFmtId="171" fontId="4" fillId="0" borderId="2" xfId="52" applyNumberFormat="1" applyFont="1" applyBorder="1" applyAlignment="1">
      <alignment horizontal="center" vertical="center" wrapText="1"/>
    </xf>
    <xf numFmtId="3" fontId="4" fillId="0" borderId="20" xfId="52" applyNumberFormat="1" applyFont="1" applyBorder="1" applyAlignment="1">
      <alignment horizontal="center" vertical="center" wrapText="1"/>
    </xf>
    <xf numFmtId="171" fontId="4" fillId="0" borderId="21" xfId="52" applyNumberFormat="1" applyFont="1" applyBorder="1" applyAlignment="1">
      <alignment horizontal="center" vertical="center" wrapText="1"/>
    </xf>
    <xf numFmtId="170" fontId="4" fillId="0" borderId="21" xfId="52" applyNumberFormat="1" applyFont="1" applyBorder="1" applyAlignment="1">
      <alignment horizontal="center" vertical="center"/>
    </xf>
    <xf numFmtId="164" fontId="4" fillId="0" borderId="22" xfId="29" applyNumberFormat="1" applyFont="1" applyBorder="1" applyAlignment="1">
      <alignment horizontal="center" vertical="center"/>
    </xf>
    <xf numFmtId="164" fontId="4" fillId="0" borderId="23" xfId="29" applyNumberFormat="1" applyFont="1" applyBorder="1" applyAlignment="1">
      <alignment horizontal="center" vertical="center"/>
    </xf>
    <xf numFmtId="171" fontId="4" fillId="0" borderId="24" xfId="52" applyNumberFormat="1" applyFont="1" applyBorder="1" applyAlignment="1">
      <alignment horizontal="center" vertical="center" wrapText="1"/>
    </xf>
    <xf numFmtId="170" fontId="4" fillId="0" borderId="24" xfId="52" applyNumberFormat="1" applyFont="1" applyBorder="1" applyAlignment="1">
      <alignment horizontal="center" vertical="center"/>
    </xf>
    <xf numFmtId="164" fontId="4" fillId="0" borderId="25" xfId="29" applyNumberFormat="1" applyFont="1" applyBorder="1" applyAlignment="1">
      <alignment horizontal="center" vertical="center"/>
    </xf>
    <xf numFmtId="0" fontId="4" fillId="0" borderId="20" xfId="52" applyFont="1" applyBorder="1" applyAlignment="1">
      <alignment horizontal="center" vertical="center" wrapText="1"/>
    </xf>
    <xf numFmtId="0" fontId="4" fillId="0" borderId="18" xfId="52" applyFont="1" applyBorder="1" applyAlignment="1">
      <alignment horizontal="center" vertical="center" wrapText="1"/>
    </xf>
    <xf numFmtId="170" fontId="4" fillId="0" borderId="18" xfId="52" applyNumberFormat="1" applyFont="1" applyBorder="1" applyAlignment="1">
      <alignment horizontal="center" vertical="center"/>
    </xf>
    <xf numFmtId="0" fontId="13" fillId="0" borderId="14" xfId="52" applyFont="1" applyBorder="1" applyAlignment="1">
      <alignment horizontal="center" vertical="center"/>
    </xf>
    <xf numFmtId="0" fontId="4" fillId="0" borderId="26" xfId="52" applyFont="1" applyBorder="1" applyAlignment="1">
      <alignment vertical="center"/>
    </xf>
    <xf numFmtId="0" fontId="4" fillId="0" borderId="27" xfId="52" applyFont="1" applyBorder="1" applyAlignment="1">
      <alignment vertical="center"/>
    </xf>
    <xf numFmtId="0" fontId="4" fillId="0" borderId="5" xfId="52" applyFont="1" applyBorder="1" applyAlignment="1">
      <alignment vertical="center"/>
    </xf>
    <xf numFmtId="0" fontId="4" fillId="0" borderId="28" xfId="52" applyFont="1" applyBorder="1" applyAlignment="1">
      <alignment vertical="center"/>
    </xf>
    <xf numFmtId="0" fontId="13" fillId="0" borderId="29" xfId="52" applyFont="1" applyBorder="1" applyAlignment="1">
      <alignment horizontal="center" vertical="center" wrapText="1"/>
    </xf>
    <xf numFmtId="0" fontId="13" fillId="0" borderId="30" xfId="52" applyFont="1" applyBorder="1" applyAlignment="1">
      <alignment horizontal="center" vertical="center" wrapText="1"/>
    </xf>
    <xf numFmtId="0" fontId="13" fillId="0" borderId="31" xfId="52" applyFont="1" applyBorder="1" applyAlignment="1">
      <alignment horizontal="center" vertical="center"/>
    </xf>
    <xf numFmtId="0" fontId="4" fillId="0" borderId="19" xfId="52" applyFont="1" applyBorder="1" applyAlignment="1">
      <alignment vertical="center"/>
    </xf>
    <xf numFmtId="0" fontId="4" fillId="0" borderId="22" xfId="52" applyFont="1" applyBorder="1" applyAlignment="1">
      <alignment vertical="center"/>
    </xf>
    <xf numFmtId="0" fontId="4" fillId="0" borderId="23" xfId="52" applyFont="1" applyBorder="1" applyAlignment="1">
      <alignment vertical="center"/>
    </xf>
    <xf numFmtId="0" fontId="4" fillId="0" borderId="25" xfId="52" applyFont="1" applyBorder="1" applyAlignment="1">
      <alignment vertical="center"/>
    </xf>
    <xf numFmtId="1" fontId="4" fillId="0" borderId="20" xfId="52" applyNumberFormat="1" applyFont="1" applyBorder="1" applyAlignment="1">
      <alignment horizontal="center" vertical="center" wrapText="1"/>
    </xf>
    <xf numFmtId="1" fontId="4" fillId="0" borderId="32" xfId="52" applyNumberFormat="1" applyFont="1" applyBorder="1" applyAlignment="1">
      <alignment horizontal="center" vertical="center" wrapText="1"/>
    </xf>
    <xf numFmtId="1" fontId="4" fillId="0" borderId="33" xfId="52" applyNumberFormat="1" applyFont="1" applyBorder="1" applyAlignment="1">
      <alignment horizontal="center" vertical="center" wrapText="1"/>
    </xf>
    <xf numFmtId="1" fontId="4" fillId="0" borderId="34" xfId="52" applyNumberFormat="1" applyFont="1" applyBorder="1" applyAlignment="1">
      <alignment horizontal="center" vertical="center" wrapText="1"/>
    </xf>
    <xf numFmtId="0" fontId="55" fillId="0" borderId="13" xfId="52" applyFont="1" applyBorder="1" applyAlignment="1">
      <alignment horizontal="center" vertical="center" wrapText="1"/>
    </xf>
    <xf numFmtId="0" fontId="4" fillId="0" borderId="27" xfId="52" applyFont="1" applyBorder="1" applyAlignment="1">
      <alignment horizontal="left" vertical="center"/>
    </xf>
    <xf numFmtId="0" fontId="4" fillId="0" borderId="28" xfId="52" applyFont="1" applyBorder="1" applyAlignment="1">
      <alignment horizontal="left" vertical="center"/>
    </xf>
    <xf numFmtId="0" fontId="4" fillId="0" borderId="26" xfId="52" applyFont="1" applyBorder="1" applyAlignment="1">
      <alignment horizontal="left" vertical="center"/>
    </xf>
    <xf numFmtId="0" fontId="13" fillId="0" borderId="30" xfId="52" applyFont="1" applyBorder="1" applyAlignment="1">
      <alignment horizontal="center" vertical="center"/>
    </xf>
    <xf numFmtId="0" fontId="13" fillId="0" borderId="31" xfId="52" applyFont="1" applyBorder="1" applyAlignment="1">
      <alignment horizontal="left" vertical="center"/>
    </xf>
    <xf numFmtId="0" fontId="4" fillId="0" borderId="22" xfId="52" applyFont="1" applyBorder="1" applyAlignment="1">
      <alignment horizontal="left" vertical="center"/>
    </xf>
    <xf numFmtId="0" fontId="4" fillId="0" borderId="23" xfId="52" applyFont="1" applyBorder="1" applyAlignment="1">
      <alignment horizontal="left" vertical="center"/>
    </xf>
    <xf numFmtId="0" fontId="4" fillId="0" borderId="25" xfId="52" applyFont="1" applyBorder="1" applyAlignment="1">
      <alignment horizontal="left" vertical="center"/>
    </xf>
    <xf numFmtId="0" fontId="4" fillId="0" borderId="19" xfId="52" applyFont="1" applyBorder="1" applyAlignment="1">
      <alignment horizontal="left" vertical="center"/>
    </xf>
    <xf numFmtId="42" fontId="7" fillId="3" borderId="2" xfId="3" applyNumberFormat="1" applyFont="1" applyFill="1" applyBorder="1" applyProtection="1">
      <protection hidden="1"/>
    </xf>
    <xf numFmtId="42" fontId="7" fillId="0" borderId="2" xfId="3" applyNumberFormat="1" applyFont="1" applyBorder="1" applyProtection="1">
      <protection hidden="1"/>
    </xf>
    <xf numFmtId="0" fontId="47" fillId="0" borderId="13" xfId="0" applyFont="1" applyBorder="1"/>
    <xf numFmtId="0" fontId="13" fillId="0" borderId="35" xfId="52" applyFont="1" applyBorder="1" applyAlignment="1">
      <alignment horizontal="center" vertical="center" wrapText="1"/>
    </xf>
    <xf numFmtId="1" fontId="4" fillId="0" borderId="26" xfId="52" applyNumberFormat="1" applyFont="1" applyBorder="1" applyAlignment="1">
      <alignment horizontal="center" vertical="center" wrapText="1"/>
    </xf>
    <xf numFmtId="1" fontId="4" fillId="0" borderId="27" xfId="52" applyNumberFormat="1" applyFont="1" applyBorder="1" applyAlignment="1">
      <alignment horizontal="center" vertical="center" wrapText="1"/>
    </xf>
    <xf numFmtId="1" fontId="4" fillId="0" borderId="5" xfId="52" applyNumberFormat="1" applyFont="1" applyBorder="1" applyAlignment="1">
      <alignment horizontal="center" vertical="center" wrapText="1"/>
    </xf>
    <xf numFmtId="1" fontId="4" fillId="0" borderId="28" xfId="52" applyNumberFormat="1" applyFont="1" applyBorder="1" applyAlignment="1">
      <alignment horizontal="center" vertical="center" wrapText="1"/>
    </xf>
    <xf numFmtId="0" fontId="4" fillId="0" borderId="20" xfId="52" applyFont="1" applyBorder="1" applyAlignment="1">
      <alignment vertical="center"/>
    </xf>
    <xf numFmtId="0" fontId="4" fillId="0" borderId="32" xfId="52" applyFont="1" applyBorder="1" applyAlignment="1">
      <alignment vertical="center"/>
    </xf>
    <xf numFmtId="0" fontId="4" fillId="0" borderId="33" xfId="52" applyFont="1" applyBorder="1" applyAlignment="1">
      <alignment vertical="center"/>
    </xf>
    <xf numFmtId="0" fontId="4" fillId="0" borderId="34" xfId="52" applyFont="1" applyBorder="1" applyAlignment="1">
      <alignment vertical="center"/>
    </xf>
    <xf numFmtId="0" fontId="13" fillId="0" borderId="8" xfId="52" applyFont="1" applyBorder="1" applyAlignment="1">
      <alignment vertical="center"/>
    </xf>
    <xf numFmtId="0" fontId="4" fillId="0" borderId="21" xfId="52" applyFont="1" applyBorder="1" applyAlignment="1">
      <alignment vertical="center"/>
    </xf>
    <xf numFmtId="0" fontId="4" fillId="6" borderId="21" xfId="52" applyFont="1" applyFill="1" applyBorder="1" applyAlignment="1">
      <alignment horizontal="center" vertical="center"/>
    </xf>
    <xf numFmtId="0" fontId="4" fillId="0" borderId="24" xfId="52" applyFont="1" applyBorder="1" applyAlignment="1">
      <alignment vertical="center"/>
    </xf>
    <xf numFmtId="0" fontId="4" fillId="6" borderId="24" xfId="52" applyFont="1" applyFill="1" applyBorder="1" applyAlignment="1">
      <alignment horizontal="center" vertical="center"/>
    </xf>
    <xf numFmtId="0" fontId="4" fillId="6" borderId="21" xfId="52" applyFont="1" applyFill="1" applyBorder="1" applyAlignment="1">
      <alignment horizontal="center" vertical="center" wrapText="1"/>
    </xf>
    <xf numFmtId="0" fontId="4" fillId="6" borderId="24" xfId="52" applyFont="1" applyFill="1" applyBorder="1" applyAlignment="1">
      <alignment horizontal="center" vertical="center" wrapText="1"/>
    </xf>
    <xf numFmtId="0" fontId="46" fillId="0" borderId="0" xfId="0" applyFont="1" applyAlignment="1">
      <alignment horizontal="center" wrapText="1"/>
    </xf>
    <xf numFmtId="0" fontId="46" fillId="0" borderId="36" xfId="0" applyFont="1" applyBorder="1"/>
    <xf numFmtId="0" fontId="46" fillId="0" borderId="21" xfId="0" applyFont="1" applyBorder="1" applyAlignment="1">
      <alignment wrapText="1"/>
    </xf>
    <xf numFmtId="0" fontId="46" fillId="0" borderId="37" xfId="0" applyFont="1" applyBorder="1"/>
    <xf numFmtId="0" fontId="46" fillId="0" borderId="38" xfId="0" applyFont="1" applyBorder="1"/>
    <xf numFmtId="0" fontId="46" fillId="0" borderId="24" xfId="0" applyFont="1" applyBorder="1" applyAlignment="1">
      <alignment wrapText="1"/>
    </xf>
    <xf numFmtId="0" fontId="46" fillId="0" borderId="39" xfId="0" applyFont="1" applyBorder="1"/>
    <xf numFmtId="0" fontId="46" fillId="0" borderId="22" xfId="0" applyFont="1" applyBorder="1" applyAlignment="1">
      <alignment wrapText="1"/>
    </xf>
    <xf numFmtId="0" fontId="4" fillId="0" borderId="25" xfId="52" applyFont="1" applyBorder="1" applyAlignment="1">
      <alignment horizontal="center" vertical="center" wrapText="1"/>
    </xf>
    <xf numFmtId="0" fontId="46" fillId="0" borderId="40" xfId="0" applyFont="1" applyBorder="1"/>
    <xf numFmtId="0" fontId="46" fillId="7" borderId="0" xfId="0" applyFont="1" applyFill="1"/>
    <xf numFmtId="0" fontId="46" fillId="7" borderId="36" xfId="0" applyFont="1" applyFill="1" applyBorder="1"/>
    <xf numFmtId="0" fontId="46" fillId="7" borderId="38" xfId="0" applyFont="1" applyFill="1" applyBorder="1"/>
    <xf numFmtId="0" fontId="46" fillId="7" borderId="37" xfId="0" applyFont="1" applyFill="1" applyBorder="1"/>
    <xf numFmtId="0" fontId="46" fillId="7" borderId="39" xfId="0" applyFont="1" applyFill="1" applyBorder="1"/>
    <xf numFmtId="0" fontId="46" fillId="0" borderId="39" xfId="0" applyFont="1" applyBorder="1" applyAlignment="1">
      <alignment wrapText="1"/>
    </xf>
    <xf numFmtId="0" fontId="46" fillId="7" borderId="30" xfId="0" applyFont="1" applyFill="1" applyBorder="1"/>
    <xf numFmtId="0" fontId="46" fillId="0" borderId="30" xfId="0" applyFont="1" applyBorder="1"/>
    <xf numFmtId="0" fontId="46" fillId="7" borderId="31" xfId="0" applyFont="1" applyFill="1" applyBorder="1"/>
    <xf numFmtId="0" fontId="46" fillId="7" borderId="41" xfId="0" applyFont="1" applyFill="1" applyBorder="1"/>
    <xf numFmtId="0" fontId="46" fillId="0" borderId="41" xfId="0" applyFont="1" applyBorder="1"/>
    <xf numFmtId="0" fontId="46" fillId="7" borderId="42" xfId="0" applyFont="1" applyFill="1" applyBorder="1"/>
    <xf numFmtId="0" fontId="46" fillId="0" borderId="41" xfId="0" applyFont="1" applyBorder="1" applyAlignment="1">
      <alignment wrapText="1"/>
    </xf>
    <xf numFmtId="0" fontId="4" fillId="0" borderId="21" xfId="52" applyFont="1" applyBorder="1" applyAlignment="1">
      <alignment horizontal="left" vertical="center"/>
    </xf>
    <xf numFmtId="0" fontId="46" fillId="0" borderId="36" xfId="0" applyFont="1" applyBorder="1" applyAlignment="1">
      <alignment wrapText="1"/>
    </xf>
    <xf numFmtId="0" fontId="46" fillId="0" borderId="37" xfId="0" applyFont="1" applyBorder="1" applyAlignment="1">
      <alignment wrapText="1"/>
    </xf>
    <xf numFmtId="0" fontId="4" fillId="0" borderId="24" xfId="52" applyFont="1" applyBorder="1" applyAlignment="1">
      <alignment horizontal="left" vertical="center"/>
    </xf>
    <xf numFmtId="0" fontId="4" fillId="0" borderId="24" xfId="52" applyFont="1" applyBorder="1" applyAlignment="1">
      <alignment horizontal="center" vertical="top" wrapText="1"/>
    </xf>
    <xf numFmtId="0" fontId="4" fillId="7" borderId="18" xfId="52" applyFont="1" applyFill="1" applyBorder="1" applyAlignment="1">
      <alignment horizontal="left" vertical="center"/>
    </xf>
    <xf numFmtId="0" fontId="46" fillId="0" borderId="43" xfId="0" applyFont="1" applyBorder="1"/>
    <xf numFmtId="0" fontId="46" fillId="7" borderId="43" xfId="0" applyFont="1" applyFill="1" applyBorder="1"/>
    <xf numFmtId="0" fontId="46" fillId="0" borderId="43" xfId="0" applyFont="1" applyBorder="1" applyAlignment="1">
      <alignment horizontal="center" wrapText="1"/>
    </xf>
    <xf numFmtId="0" fontId="46" fillId="7" borderId="44" xfId="0" applyFont="1" applyFill="1" applyBorder="1"/>
    <xf numFmtId="0" fontId="4" fillId="0" borderId="8" xfId="52" applyFont="1" applyBorder="1" applyAlignment="1">
      <alignment horizontal="center" vertical="center" wrapText="1"/>
    </xf>
    <xf numFmtId="0" fontId="4" fillId="6" borderId="21" xfId="52" applyFont="1" applyFill="1" applyBorder="1" applyAlignment="1">
      <alignment horizontal="center" vertical="top" wrapText="1"/>
    </xf>
    <xf numFmtId="0" fontId="4" fillId="6" borderId="24" xfId="52" applyFont="1" applyFill="1" applyBorder="1" applyAlignment="1">
      <alignment horizontal="center" vertical="top" wrapText="1"/>
    </xf>
    <xf numFmtId="0" fontId="46" fillId="6" borderId="43" xfId="0" applyFont="1" applyFill="1" applyBorder="1" applyAlignment="1">
      <alignment horizontal="center" wrapText="1"/>
    </xf>
    <xf numFmtId="0" fontId="4" fillId="3" borderId="32" xfId="52" applyFont="1" applyFill="1" applyBorder="1" applyAlignment="1">
      <alignment vertical="center"/>
    </xf>
    <xf numFmtId="0" fontId="4" fillId="3" borderId="34" xfId="52" applyFont="1" applyFill="1" applyBorder="1" applyAlignment="1">
      <alignment vertical="center"/>
    </xf>
    <xf numFmtId="1" fontId="4" fillId="3" borderId="27" xfId="52" applyNumberFormat="1" applyFont="1" applyFill="1" applyBorder="1" applyAlignment="1">
      <alignment horizontal="center" vertical="center" wrapText="1"/>
    </xf>
    <xf numFmtId="171" fontId="4" fillId="3" borderId="21" xfId="52" applyNumberFormat="1" applyFont="1" applyFill="1" applyBorder="1" applyAlignment="1">
      <alignment horizontal="center" vertical="center" wrapText="1"/>
    </xf>
    <xf numFmtId="170" fontId="4" fillId="3" borderId="21" xfId="52" applyNumberFormat="1" applyFont="1" applyFill="1" applyBorder="1" applyAlignment="1">
      <alignment horizontal="center" vertical="center"/>
    </xf>
    <xf numFmtId="164" fontId="4" fillId="3" borderId="22" xfId="29" applyNumberFormat="1" applyFont="1" applyFill="1" applyBorder="1" applyAlignment="1">
      <alignment horizontal="center" vertical="center"/>
    </xf>
    <xf numFmtId="1" fontId="4" fillId="3" borderId="28" xfId="52" applyNumberFormat="1" applyFont="1" applyFill="1" applyBorder="1" applyAlignment="1">
      <alignment horizontal="center" vertical="center" wrapText="1"/>
    </xf>
    <xf numFmtId="171" fontId="4" fillId="3" borderId="24" xfId="52" applyNumberFormat="1" applyFont="1" applyFill="1" applyBorder="1" applyAlignment="1">
      <alignment horizontal="center" vertical="center" wrapText="1"/>
    </xf>
    <xf numFmtId="170" fontId="4" fillId="3" borderId="24" xfId="52" applyNumberFormat="1" applyFont="1" applyFill="1" applyBorder="1" applyAlignment="1">
      <alignment horizontal="center" vertical="center"/>
    </xf>
    <xf numFmtId="164" fontId="4" fillId="3" borderId="25" xfId="29" applyNumberFormat="1" applyFont="1" applyFill="1" applyBorder="1" applyAlignment="1">
      <alignment horizontal="center" vertical="center"/>
    </xf>
    <xf numFmtId="0" fontId="4" fillId="3" borderId="20" xfId="52" applyFont="1" applyFill="1" applyBorder="1" applyAlignment="1">
      <alignment vertical="center"/>
    </xf>
    <xf numFmtId="1" fontId="4" fillId="3" borderId="32" xfId="52" applyNumberFormat="1" applyFont="1" applyFill="1" applyBorder="1" applyAlignment="1">
      <alignment horizontal="center" vertical="center" wrapText="1"/>
    </xf>
    <xf numFmtId="1" fontId="4" fillId="3" borderId="33" xfId="52" applyNumberFormat="1" applyFont="1" applyFill="1" applyBorder="1" applyAlignment="1">
      <alignment horizontal="center" vertical="center" wrapText="1"/>
    </xf>
    <xf numFmtId="171" fontId="4" fillId="3" borderId="2" xfId="52" applyNumberFormat="1" applyFont="1" applyFill="1" applyBorder="1" applyAlignment="1">
      <alignment horizontal="center" vertical="center" wrapText="1"/>
    </xf>
    <xf numFmtId="170" fontId="4" fillId="3" borderId="2" xfId="52" applyNumberFormat="1" applyFont="1" applyFill="1" applyBorder="1" applyAlignment="1">
      <alignment horizontal="center" vertical="center"/>
    </xf>
    <xf numFmtId="164" fontId="4" fillId="3" borderId="23" xfId="29" applyNumberFormat="1" applyFont="1" applyFill="1" applyBorder="1" applyAlignment="1">
      <alignment horizontal="center" vertical="center"/>
    </xf>
    <xf numFmtId="1" fontId="4" fillId="3" borderId="34" xfId="52" applyNumberFormat="1" applyFont="1" applyFill="1" applyBorder="1" applyAlignment="1">
      <alignment horizontal="center" vertical="center" wrapText="1"/>
    </xf>
    <xf numFmtId="1" fontId="4" fillId="3" borderId="20" xfId="52" applyNumberFormat="1" applyFont="1" applyFill="1" applyBorder="1" applyAlignment="1">
      <alignment horizontal="center" vertical="center" wrapText="1"/>
    </xf>
    <xf numFmtId="171" fontId="4" fillId="3" borderId="18" xfId="52" applyNumberFormat="1" applyFont="1" applyFill="1" applyBorder="1" applyAlignment="1">
      <alignment horizontal="center" vertical="center" wrapText="1"/>
    </xf>
    <xf numFmtId="170" fontId="4" fillId="3" borderId="18" xfId="52" applyNumberFormat="1" applyFont="1" applyFill="1" applyBorder="1" applyAlignment="1">
      <alignment horizontal="center" vertical="center"/>
    </xf>
    <xf numFmtId="164" fontId="4" fillId="3" borderId="19" xfId="29" applyNumberFormat="1" applyFont="1" applyFill="1" applyBorder="1" applyAlignment="1">
      <alignment horizontal="center" vertical="center"/>
    </xf>
    <xf numFmtId="0" fontId="47" fillId="0" borderId="7" xfId="0" applyFont="1" applyBorder="1"/>
    <xf numFmtId="0" fontId="47" fillId="0" borderId="17" xfId="0" applyFont="1" applyBorder="1"/>
    <xf numFmtId="167" fontId="47" fillId="0" borderId="3" xfId="0" applyNumberFormat="1" applyFont="1" applyBorder="1" applyAlignment="1" applyProtection="1">
      <alignment horizontal="center"/>
      <protection hidden="1"/>
    </xf>
    <xf numFmtId="0" fontId="47" fillId="0" borderId="6" xfId="0" applyFont="1" applyBorder="1" applyAlignment="1" applyProtection="1">
      <alignment horizontal="center"/>
      <protection hidden="1"/>
    </xf>
    <xf numFmtId="0" fontId="47" fillId="0" borderId="7" xfId="0" applyFont="1" applyBorder="1" applyProtection="1">
      <protection hidden="1"/>
    </xf>
    <xf numFmtId="0" fontId="47" fillId="0" borderId="17" xfId="0" applyFont="1" applyBorder="1" applyProtection="1">
      <protection hidden="1"/>
    </xf>
    <xf numFmtId="0" fontId="58" fillId="3" borderId="6" xfId="0" applyFont="1" applyFill="1" applyBorder="1" applyProtection="1">
      <protection hidden="1"/>
    </xf>
    <xf numFmtId="0" fontId="58" fillId="3" borderId="2" xfId="0" applyFont="1" applyFill="1" applyBorder="1" applyProtection="1">
      <protection hidden="1"/>
    </xf>
    <xf numFmtId="0" fontId="60" fillId="3" borderId="16" xfId="0" applyFont="1" applyFill="1" applyBorder="1" applyAlignment="1" applyProtection="1">
      <alignment horizontal="center"/>
      <protection hidden="1"/>
    </xf>
    <xf numFmtId="0" fontId="60" fillId="3" borderId="15" xfId="0" applyFont="1" applyFill="1" applyBorder="1" applyAlignment="1" applyProtection="1">
      <alignment horizontal="center"/>
      <protection hidden="1"/>
    </xf>
    <xf numFmtId="0" fontId="60" fillId="3" borderId="14" xfId="0" applyFont="1" applyFill="1" applyBorder="1" applyAlignment="1" applyProtection="1">
      <alignment horizontal="center"/>
      <protection hidden="1"/>
    </xf>
    <xf numFmtId="0" fontId="59" fillId="3" borderId="7" xfId="0" applyFont="1" applyFill="1" applyBorder="1" applyAlignment="1" applyProtection="1">
      <alignment horizontal="center"/>
      <protection hidden="1"/>
    </xf>
    <xf numFmtId="0" fontId="59" fillId="3" borderId="0" xfId="0" applyFont="1" applyFill="1" applyAlignment="1" applyProtection="1">
      <alignment horizontal="center"/>
      <protection hidden="1"/>
    </xf>
    <xf numFmtId="0" fontId="59" fillId="3" borderId="13" xfId="0" applyFont="1" applyFill="1" applyBorder="1" applyAlignment="1" applyProtection="1">
      <alignment horizontal="center"/>
      <protection hidden="1"/>
    </xf>
    <xf numFmtId="0" fontId="47" fillId="8" borderId="3" xfId="0" applyFont="1" applyFill="1" applyBorder="1" applyAlignment="1" applyProtection="1">
      <alignment horizontal="center"/>
      <protection hidden="1"/>
    </xf>
    <xf numFmtId="0" fontId="47" fillId="8" borderId="4" xfId="0" applyFont="1" applyFill="1" applyBorder="1" applyAlignment="1" applyProtection="1">
      <alignment horizontal="center"/>
      <protection hidden="1"/>
    </xf>
    <xf numFmtId="166" fontId="47" fillId="8" borderId="4" xfId="0" applyNumberFormat="1" applyFont="1" applyFill="1" applyBorder="1" applyAlignment="1" applyProtection="1">
      <alignment horizontal="center"/>
      <protection hidden="1"/>
    </xf>
    <xf numFmtId="0" fontId="47" fillId="8" borderId="3" xfId="0" applyFont="1" applyFill="1" applyBorder="1" applyProtection="1">
      <protection hidden="1"/>
    </xf>
    <xf numFmtId="166" fontId="47" fillId="8" borderId="5" xfId="0" applyNumberFormat="1" applyFont="1" applyFill="1" applyBorder="1" applyAlignment="1" applyProtection="1">
      <alignment horizontal="center"/>
      <protection hidden="1"/>
    </xf>
    <xf numFmtId="167" fontId="47" fillId="8" borderId="4" xfId="0" applyNumberFormat="1" applyFont="1" applyFill="1" applyBorder="1" applyAlignment="1" applyProtection="1">
      <alignment horizontal="center"/>
      <protection hidden="1"/>
    </xf>
    <xf numFmtId="0" fontId="59" fillId="3" borderId="16" xfId="0" applyFont="1" applyFill="1" applyBorder="1" applyProtection="1">
      <protection hidden="1"/>
    </xf>
    <xf numFmtId="0" fontId="59" fillId="3" borderId="14" xfId="0" applyFont="1" applyFill="1" applyBorder="1" applyAlignment="1" applyProtection="1">
      <alignment horizontal="center"/>
      <protection hidden="1"/>
    </xf>
    <xf numFmtId="0" fontId="59" fillId="3" borderId="7" xfId="0" applyFont="1" applyFill="1" applyBorder="1" applyProtection="1">
      <protection hidden="1"/>
    </xf>
    <xf numFmtId="0" fontId="48" fillId="8" borderId="3" xfId="0" applyFont="1" applyFill="1" applyBorder="1" applyProtection="1">
      <protection hidden="1"/>
    </xf>
    <xf numFmtId="0" fontId="48" fillId="8" borderId="3" xfId="0" applyFont="1" applyFill="1" applyBorder="1" applyAlignment="1" applyProtection="1">
      <alignment horizontal="center"/>
      <protection hidden="1"/>
    </xf>
    <xf numFmtId="0" fontId="48" fillId="8" borderId="4" xfId="0" applyFont="1" applyFill="1" applyBorder="1" applyAlignment="1" applyProtection="1">
      <alignment horizontal="center"/>
      <protection hidden="1"/>
    </xf>
    <xf numFmtId="0" fontId="48" fillId="8" borderId="5" xfId="0" applyFont="1" applyFill="1" applyBorder="1" applyAlignment="1" applyProtection="1">
      <alignment horizontal="center"/>
      <protection hidden="1"/>
    </xf>
    <xf numFmtId="0" fontId="59" fillId="3" borderId="17" xfId="0" applyFont="1" applyFill="1" applyBorder="1" applyAlignment="1" applyProtection="1">
      <alignment horizontal="center"/>
      <protection hidden="1"/>
    </xf>
    <xf numFmtId="0" fontId="59" fillId="3" borderId="9" xfId="0" applyFont="1" applyFill="1" applyBorder="1" applyAlignment="1" applyProtection="1">
      <alignment horizontal="center"/>
      <protection hidden="1"/>
    </xf>
    <xf numFmtId="0" fontId="59" fillId="3" borderId="12" xfId="0" applyFont="1" applyFill="1" applyBorder="1" applyAlignment="1" applyProtection="1">
      <alignment horizontal="center"/>
      <protection hidden="1"/>
    </xf>
    <xf numFmtId="0" fontId="58" fillId="3" borderId="16" xfId="0" applyFont="1" applyFill="1" applyBorder="1" applyAlignment="1" applyProtection="1">
      <alignment horizontal="center"/>
      <protection hidden="1"/>
    </xf>
    <xf numFmtId="0" fontId="58" fillId="3" borderId="15" xfId="0" applyFont="1" applyFill="1" applyBorder="1" applyProtection="1">
      <protection hidden="1"/>
    </xf>
    <xf numFmtId="0" fontId="58" fillId="3" borderId="12" xfId="0" applyFont="1" applyFill="1" applyBorder="1"/>
    <xf numFmtId="0" fontId="59" fillId="3" borderId="3" xfId="0" applyFont="1" applyFill="1" applyBorder="1" applyAlignment="1">
      <alignment horizontal="center"/>
    </xf>
    <xf numFmtId="0" fontId="59" fillId="3" borderId="4" xfId="0" applyFont="1" applyFill="1" applyBorder="1" applyAlignment="1">
      <alignment horizontal="center"/>
    </xf>
    <xf numFmtId="0" fontId="59" fillId="3" borderId="5" xfId="0" applyFont="1" applyFill="1" applyBorder="1" applyAlignment="1">
      <alignment horizontal="center"/>
    </xf>
    <xf numFmtId="0" fontId="58" fillId="3" borderId="0" xfId="0" applyFont="1" applyFill="1" applyProtection="1">
      <protection hidden="1"/>
    </xf>
    <xf numFmtId="0" fontId="59" fillId="3" borderId="3" xfId="0" applyFont="1" applyFill="1" applyBorder="1" applyAlignment="1" applyProtection="1">
      <alignment horizontal="center"/>
      <protection hidden="1"/>
    </xf>
    <xf numFmtId="0" fontId="59" fillId="3" borderId="4" xfId="0" applyFont="1" applyFill="1" applyBorder="1" applyAlignment="1" applyProtection="1">
      <alignment horizontal="center"/>
      <protection hidden="1"/>
    </xf>
    <xf numFmtId="0" fontId="59" fillId="3" borderId="5" xfId="0" applyFont="1" applyFill="1" applyBorder="1" applyAlignment="1" applyProtection="1">
      <alignment horizontal="center"/>
      <protection hidden="1"/>
    </xf>
    <xf numFmtId="0" fontId="59" fillId="0" borderId="11" xfId="0" applyFont="1" applyBorder="1" applyAlignment="1" applyProtection="1">
      <alignment horizontal="center"/>
      <protection hidden="1"/>
    </xf>
    <xf numFmtId="0" fontId="59" fillId="0" borderId="11" xfId="0" applyFont="1" applyBorder="1" applyAlignment="1" applyProtection="1">
      <alignment horizontal="center" vertical="center" wrapText="1"/>
      <protection hidden="1"/>
    </xf>
    <xf numFmtId="0" fontId="7" fillId="0" borderId="11" xfId="0" applyFont="1" applyBorder="1" applyProtection="1">
      <protection hidden="1"/>
    </xf>
    <xf numFmtId="0" fontId="47" fillId="0" borderId="16" xfId="0" applyFont="1" applyBorder="1" applyProtection="1">
      <protection hidden="1"/>
    </xf>
    <xf numFmtId="0" fontId="7" fillId="0" borderId="11" xfId="52" applyFont="1" applyBorder="1" applyAlignment="1">
      <alignment vertical="center" wrapText="1"/>
    </xf>
    <xf numFmtId="0" fontId="58" fillId="3" borderId="3" xfId="0" applyFont="1" applyFill="1" applyBorder="1" applyAlignment="1" applyProtection="1">
      <alignment horizontal="left"/>
      <protection hidden="1"/>
    </xf>
    <xf numFmtId="0" fontId="59" fillId="0" borderId="13" xfId="0" applyFont="1" applyBorder="1" applyAlignment="1" applyProtection="1">
      <alignment horizontal="center"/>
      <protection hidden="1"/>
    </xf>
    <xf numFmtId="0" fontId="59" fillId="0" borderId="11" xfId="0" applyFont="1" applyBorder="1" applyAlignment="1" applyProtection="1">
      <alignment horizontal="center" wrapText="1"/>
      <protection hidden="1"/>
    </xf>
    <xf numFmtId="172" fontId="7" fillId="3" borderId="11" xfId="0" applyNumberFormat="1" applyFont="1" applyFill="1" applyBorder="1" applyProtection="1">
      <protection hidden="1"/>
    </xf>
    <xf numFmtId="0" fontId="7" fillId="0" borderId="0" xfId="52" applyFont="1" applyAlignment="1" applyProtection="1">
      <alignment horizontal="left"/>
      <protection hidden="1"/>
    </xf>
    <xf numFmtId="0" fontId="0" fillId="9" borderId="0" xfId="0" applyFill="1"/>
    <xf numFmtId="0" fontId="21" fillId="9" borderId="1" xfId="57" applyFill="1" applyBorder="1" applyAlignment="1">
      <alignment horizontal="left"/>
    </xf>
    <xf numFmtId="0" fontId="0" fillId="7" borderId="0" xfId="0" applyFill="1"/>
    <xf numFmtId="0" fontId="0" fillId="10" borderId="0" xfId="0" applyFill="1"/>
    <xf numFmtId="0" fontId="21" fillId="0" borderId="0" xfId="0" applyFont="1" applyAlignment="1">
      <alignment horizontal="left" wrapText="1"/>
    </xf>
    <xf numFmtId="0" fontId="21" fillId="0" borderId="1" xfId="0" applyFont="1" applyBorder="1" applyAlignment="1">
      <alignment horizontal="left" wrapText="1"/>
    </xf>
    <xf numFmtId="0" fontId="62" fillId="0" borderId="1" xfId="58" applyFont="1" applyBorder="1"/>
    <xf numFmtId="0" fontId="63" fillId="2" borderId="2" xfId="0" applyFont="1" applyFill="1" applyBorder="1"/>
    <xf numFmtId="1" fontId="50" fillId="4" borderId="8" xfId="0" applyNumberFormat="1" applyFont="1" applyFill="1" applyBorder="1"/>
    <xf numFmtId="0" fontId="47" fillId="0" borderId="2" xfId="0" applyFont="1" applyBorder="1" applyProtection="1">
      <protection hidden="1"/>
    </xf>
    <xf numFmtId="43" fontId="41" fillId="0" borderId="0" xfId="3"/>
    <xf numFmtId="0" fontId="64" fillId="0" borderId="0" xfId="0" applyFont="1" applyAlignment="1" applyProtection="1">
      <alignment horizontal="center" wrapText="1"/>
      <protection hidden="1"/>
    </xf>
    <xf numFmtId="168" fontId="65" fillId="0" borderId="0" xfId="0" applyNumberFormat="1" applyFont="1" applyAlignment="1" applyProtection="1">
      <alignment horizontal="left"/>
      <protection hidden="1"/>
    </xf>
    <xf numFmtId="0" fontId="65" fillId="0" borderId="0" xfId="0" applyFont="1" applyAlignment="1" applyProtection="1">
      <alignment horizontal="right"/>
      <protection hidden="1"/>
    </xf>
    <xf numFmtId="9" fontId="46" fillId="0" borderId="0" xfId="60" applyFont="1" applyProtection="1">
      <protection hidden="1"/>
    </xf>
    <xf numFmtId="42" fontId="46" fillId="0" borderId="0" xfId="0" applyNumberFormat="1" applyFont="1" applyProtection="1">
      <protection hidden="1"/>
    </xf>
    <xf numFmtId="0" fontId="59" fillId="12" borderId="2" xfId="0" applyFont="1" applyFill="1" applyBorder="1" applyAlignment="1" applyProtection="1">
      <alignment horizontal="center" wrapText="1"/>
      <protection hidden="1"/>
    </xf>
    <xf numFmtId="0" fontId="46" fillId="0" borderId="9" xfId="0" applyFont="1" applyBorder="1" applyProtection="1">
      <protection hidden="1"/>
    </xf>
    <xf numFmtId="0" fontId="46" fillId="0" borderId="12" xfId="0" applyFont="1" applyBorder="1" applyProtection="1">
      <protection hidden="1"/>
    </xf>
    <xf numFmtId="0" fontId="46" fillId="0" borderId="13" xfId="0" applyFont="1" applyBorder="1" applyProtection="1">
      <protection hidden="1"/>
    </xf>
    <xf numFmtId="3" fontId="19" fillId="0" borderId="13" xfId="4" applyNumberFormat="1" applyFont="1" applyBorder="1" applyAlignment="1" applyProtection="1">
      <alignment vertical="center" wrapText="1"/>
      <protection hidden="1"/>
    </xf>
    <xf numFmtId="169" fontId="51" fillId="0" borderId="13" xfId="0" applyNumberFormat="1" applyFont="1" applyBorder="1" applyProtection="1">
      <protection hidden="1"/>
    </xf>
    <xf numFmtId="4" fontId="19" fillId="0" borderId="14" xfId="4" applyNumberFormat="1" applyFont="1" applyBorder="1" applyAlignment="1" applyProtection="1">
      <alignment vertical="center"/>
      <protection hidden="1"/>
    </xf>
    <xf numFmtId="172" fontId="7" fillId="10" borderId="2" xfId="0" applyNumberFormat="1" applyFont="1" applyFill="1" applyBorder="1" applyProtection="1">
      <protection locked="0"/>
    </xf>
    <xf numFmtId="0" fontId="19" fillId="0" borderId="16" xfId="52" applyFont="1" applyBorder="1" applyAlignment="1" applyProtection="1">
      <alignment horizontal="right"/>
      <protection hidden="1"/>
    </xf>
    <xf numFmtId="0" fontId="19" fillId="0" borderId="7" xfId="52" applyFont="1" applyBorder="1" applyAlignment="1" applyProtection="1">
      <alignment horizontal="right"/>
      <protection hidden="1"/>
    </xf>
    <xf numFmtId="0" fontId="51" fillId="0" borderId="7" xfId="0" applyFont="1" applyBorder="1" applyAlignment="1" applyProtection="1">
      <alignment horizontal="right"/>
      <protection hidden="1"/>
    </xf>
    <xf numFmtId="0" fontId="59" fillId="12" borderId="13" xfId="0" applyFont="1" applyFill="1" applyBorder="1" applyAlignment="1" applyProtection="1">
      <alignment horizontal="center"/>
      <protection hidden="1"/>
    </xf>
    <xf numFmtId="0" fontId="59" fillId="12" borderId="11" xfId="0" applyFont="1" applyFill="1" applyBorder="1" applyAlignment="1" applyProtection="1">
      <alignment horizontal="center" wrapText="1"/>
      <protection hidden="1"/>
    </xf>
    <xf numFmtId="0" fontId="0" fillId="0" borderId="0" xfId="0" applyAlignment="1">
      <alignment vertical="center"/>
    </xf>
    <xf numFmtId="0" fontId="68" fillId="0" borderId="0" xfId="0" applyFont="1" applyAlignment="1">
      <alignment vertical="center"/>
    </xf>
    <xf numFmtId="0" fontId="69" fillId="0" borderId="0" xfId="0" applyFont="1" applyAlignment="1">
      <alignment vertical="center"/>
    </xf>
    <xf numFmtId="0" fontId="59" fillId="3" borderId="15" xfId="0" applyFont="1" applyFill="1" applyBorder="1" applyAlignment="1" applyProtection="1">
      <alignment horizontal="center" wrapText="1"/>
      <protection hidden="1"/>
    </xf>
    <xf numFmtId="0" fontId="0" fillId="0" borderId="2" xfId="0" applyBorder="1"/>
    <xf numFmtId="164" fontId="41" fillId="0" borderId="0" xfId="29" applyNumberFormat="1"/>
    <xf numFmtId="1" fontId="0" fillId="0" borderId="0" xfId="0" applyNumberFormat="1"/>
    <xf numFmtId="0" fontId="47" fillId="0" borderId="10" xfId="0" applyFont="1" applyBorder="1"/>
    <xf numFmtId="0" fontId="47" fillId="0" borderId="9" xfId="0" applyFont="1" applyBorder="1"/>
    <xf numFmtId="0" fontId="47" fillId="0" borderId="12" xfId="0" applyFont="1" applyBorder="1"/>
    <xf numFmtId="0" fontId="53" fillId="0" borderId="11" xfId="0" applyFont="1" applyBorder="1" applyAlignment="1" applyProtection="1">
      <alignment horizontal="center"/>
      <protection hidden="1"/>
    </xf>
    <xf numFmtId="0" fontId="70" fillId="0" borderId="0" xfId="0" applyFont="1" applyProtection="1">
      <protection hidden="1"/>
    </xf>
    <xf numFmtId="0" fontId="70" fillId="0" borderId="0" xfId="0" applyFont="1" applyAlignment="1" applyProtection="1">
      <alignment horizontal="right"/>
      <protection hidden="1"/>
    </xf>
    <xf numFmtId="0" fontId="23" fillId="0" borderId="0" xfId="0" applyFont="1" applyAlignment="1" applyProtection="1">
      <alignment vertical="center"/>
      <protection hidden="1"/>
    </xf>
    <xf numFmtId="0" fontId="50" fillId="10" borderId="2" xfId="0" applyFont="1" applyFill="1" applyBorder="1" applyProtection="1">
      <protection locked="0"/>
    </xf>
    <xf numFmtId="0" fontId="0" fillId="10" borderId="2" xfId="0" applyFill="1" applyBorder="1" applyProtection="1">
      <protection locked="0"/>
    </xf>
    <xf numFmtId="0" fontId="31" fillId="0" borderId="11" xfId="0" applyFont="1" applyBorder="1" applyProtection="1">
      <protection hidden="1"/>
    </xf>
    <xf numFmtId="0" fontId="71" fillId="0" borderId="11" xfId="0" applyFont="1" applyBorder="1" applyProtection="1">
      <protection hidden="1"/>
    </xf>
    <xf numFmtId="166" fontId="47" fillId="0" borderId="0" xfId="0" applyNumberFormat="1" applyFont="1" applyProtection="1">
      <protection hidden="1"/>
    </xf>
    <xf numFmtId="167" fontId="47" fillId="0" borderId="4" xfId="0" applyNumberFormat="1" applyFont="1" applyBorder="1" applyAlignment="1" applyProtection="1">
      <alignment horizontal="center"/>
      <protection hidden="1"/>
    </xf>
    <xf numFmtId="0" fontId="47" fillId="0" borderId="17" xfId="0" applyFont="1" applyBorder="1" applyAlignment="1" applyProtection="1">
      <alignment horizontal="center"/>
      <protection hidden="1"/>
    </xf>
    <xf numFmtId="0" fontId="47" fillId="0" borderId="9" xfId="0" applyFont="1" applyBorder="1" applyAlignment="1" applyProtection="1">
      <alignment horizontal="center"/>
      <protection hidden="1"/>
    </xf>
    <xf numFmtId="165" fontId="74" fillId="10" borderId="9" xfId="0" applyNumberFormat="1" applyFont="1" applyFill="1" applyBorder="1" applyAlignment="1" applyProtection="1">
      <alignment horizontal="left"/>
      <protection locked="0"/>
    </xf>
    <xf numFmtId="0" fontId="46" fillId="0" borderId="9" xfId="0" applyFont="1" applyBorder="1" applyProtection="1">
      <protection locked="0"/>
    </xf>
    <xf numFmtId="0" fontId="66" fillId="14" borderId="0" xfId="0" applyFont="1" applyFill="1" applyAlignment="1">
      <alignment vertical="center"/>
    </xf>
    <xf numFmtId="49" fontId="3" fillId="13" borderId="0" xfId="0" applyNumberFormat="1" applyFont="1" applyFill="1"/>
    <xf numFmtId="0" fontId="75" fillId="14" borderId="0" xfId="0" applyFont="1" applyFill="1" applyAlignment="1">
      <alignment vertical="center"/>
    </xf>
    <xf numFmtId="3" fontId="74" fillId="10" borderId="9" xfId="0" applyNumberFormat="1" applyFont="1" applyFill="1" applyBorder="1" applyAlignment="1" applyProtection="1">
      <alignment horizontal="left"/>
      <protection locked="0"/>
    </xf>
    <xf numFmtId="0" fontId="47" fillId="13" borderId="7" xfId="0" applyFont="1" applyFill="1" applyBorder="1" applyProtection="1">
      <protection hidden="1"/>
    </xf>
    <xf numFmtId="0" fontId="47" fillId="4" borderId="13" xfId="0" applyFont="1" applyFill="1" applyBorder="1" applyProtection="1">
      <protection hidden="1"/>
    </xf>
    <xf numFmtId="0" fontId="7" fillId="0" borderId="9" xfId="52" applyFont="1" applyBorder="1" applyProtection="1">
      <protection hidden="1"/>
    </xf>
    <xf numFmtId="0" fontId="7" fillId="0" borderId="4" xfId="52" applyFont="1" applyBorder="1" applyProtection="1">
      <protection hidden="1"/>
    </xf>
    <xf numFmtId="0" fontId="47" fillId="4" borderId="0" xfId="0" applyFont="1" applyFill="1" applyAlignment="1" applyProtection="1">
      <alignment horizontal="center"/>
      <protection hidden="1"/>
    </xf>
    <xf numFmtId="0" fontId="47" fillId="4" borderId="0" xfId="0" applyFont="1" applyFill="1" applyAlignment="1">
      <alignment horizontal="center"/>
    </xf>
    <xf numFmtId="0" fontId="47" fillId="4" borderId="7" xfId="0" applyFont="1" applyFill="1" applyBorder="1" applyAlignment="1">
      <alignment horizontal="center"/>
    </xf>
    <xf numFmtId="0" fontId="47" fillId="4" borderId="7" xfId="0" applyFont="1" applyFill="1" applyBorder="1"/>
    <xf numFmtId="0" fontId="47" fillId="4" borderId="0" xfId="0" applyFont="1" applyFill="1"/>
    <xf numFmtId="0" fontId="47" fillId="4" borderId="11" xfId="0" applyFont="1" applyFill="1" applyBorder="1"/>
    <xf numFmtId="0" fontId="47" fillId="4" borderId="13" xfId="0" applyFont="1" applyFill="1" applyBorder="1"/>
    <xf numFmtId="0" fontId="48" fillId="0" borderId="4" xfId="0" applyFont="1" applyBorder="1" applyAlignment="1" applyProtection="1">
      <alignment horizontal="center"/>
      <protection hidden="1"/>
    </xf>
    <xf numFmtId="2" fontId="47" fillId="0" borderId="11" xfId="0" applyNumberFormat="1" applyFont="1" applyBorder="1" applyAlignment="1" applyProtection="1">
      <alignment horizontal="center"/>
      <protection hidden="1"/>
    </xf>
    <xf numFmtId="49" fontId="3" fillId="0" borderId="0" xfId="0" applyNumberFormat="1" applyFont="1"/>
    <xf numFmtId="49" fontId="3" fillId="0" borderId="0" xfId="0" applyNumberFormat="1" applyFont="1" applyAlignment="1">
      <alignment horizontal="left" vertical="top" wrapText="1"/>
    </xf>
    <xf numFmtId="49" fontId="3" fillId="0" borderId="0" xfId="0" applyNumberFormat="1" applyFont="1" applyAlignment="1">
      <alignment horizontal="right"/>
    </xf>
    <xf numFmtId="49" fontId="3" fillId="0" borderId="0" xfId="0" applyNumberFormat="1" applyFont="1" applyAlignment="1">
      <alignment horizontal="left" indent="1"/>
    </xf>
    <xf numFmtId="49" fontId="20" fillId="0" borderId="0" xfId="0" applyNumberFormat="1" applyFont="1" applyAlignment="1">
      <alignment horizontal="right" vertical="top"/>
    </xf>
    <xf numFmtId="49" fontId="3" fillId="0" borderId="0" xfId="0" applyNumberFormat="1" applyFont="1" applyAlignment="1">
      <alignment horizontal="right" vertical="top"/>
    </xf>
    <xf numFmtId="49" fontId="3" fillId="0" borderId="0" xfId="0" applyNumberFormat="1" applyFont="1" applyAlignment="1">
      <alignment horizontal="left" indent="2"/>
    </xf>
    <xf numFmtId="0" fontId="46" fillId="10" borderId="2" xfId="0" applyFont="1" applyFill="1" applyBorder="1" applyAlignment="1" applyProtection="1">
      <alignment horizontal="center" vertical="center" wrapText="1"/>
      <protection locked="0"/>
    </xf>
    <xf numFmtId="0" fontId="76" fillId="0" borderId="0" xfId="0" applyFont="1" applyAlignment="1" applyProtection="1">
      <alignment horizontal="center"/>
      <protection hidden="1"/>
    </xf>
    <xf numFmtId="2" fontId="47" fillId="0" borderId="0" xfId="0" applyNumberFormat="1" applyFont="1" applyAlignment="1" applyProtection="1">
      <alignment horizontal="center"/>
      <protection hidden="1"/>
    </xf>
    <xf numFmtId="166" fontId="47" fillId="0" borderId="0" xfId="0" applyNumberFormat="1" applyFont="1" applyAlignment="1" applyProtection="1">
      <alignment horizontal="center"/>
      <protection hidden="1"/>
    </xf>
    <xf numFmtId="166" fontId="47" fillId="0" borderId="0" xfId="0" applyNumberFormat="1" applyFont="1" applyAlignment="1">
      <alignment horizontal="center"/>
    </xf>
    <xf numFmtId="166" fontId="47" fillId="0" borderId="3" xfId="0" applyNumberFormat="1" applyFont="1" applyBorder="1" applyAlignment="1" applyProtection="1">
      <alignment horizontal="center"/>
      <protection hidden="1"/>
    </xf>
    <xf numFmtId="166" fontId="47" fillId="0" borderId="4" xfId="0" applyNumberFormat="1" applyFont="1" applyBorder="1" applyAlignment="1" applyProtection="1">
      <alignment horizontal="center"/>
      <protection hidden="1"/>
    </xf>
    <xf numFmtId="0" fontId="7" fillId="10" borderId="2" xfId="0" applyFont="1" applyFill="1" applyBorder="1" applyProtection="1">
      <protection locked="0"/>
    </xf>
    <xf numFmtId="0" fontId="77" fillId="15" borderId="2" xfId="0" applyFont="1" applyFill="1" applyBorder="1" applyProtection="1">
      <protection locked="0"/>
    </xf>
    <xf numFmtId="0" fontId="49" fillId="0" borderId="0" xfId="0" applyFont="1"/>
    <xf numFmtId="0" fontId="0" fillId="9" borderId="9" xfId="0" applyFill="1" applyBorder="1"/>
    <xf numFmtId="2" fontId="41" fillId="0" borderId="0" xfId="3" applyNumberFormat="1"/>
    <xf numFmtId="2" fontId="47" fillId="0" borderId="3" xfId="0" applyNumberFormat="1" applyFont="1" applyBorder="1" applyAlignment="1" applyProtection="1">
      <alignment horizontal="center"/>
      <protection hidden="1"/>
    </xf>
    <xf numFmtId="175" fontId="0" fillId="0" borderId="0" xfId="0" applyNumberFormat="1"/>
    <xf numFmtId="176" fontId="41" fillId="0" borderId="0" xfId="3" applyNumberFormat="1"/>
    <xf numFmtId="0" fontId="41" fillId="0" borderId="0" xfId="3" applyNumberFormat="1"/>
    <xf numFmtId="175" fontId="41" fillId="0" borderId="0" xfId="3" applyNumberFormat="1"/>
    <xf numFmtId="0" fontId="50" fillId="10" borderId="3" xfId="0" applyFont="1" applyFill="1" applyBorder="1" applyProtection="1">
      <protection locked="0"/>
    </xf>
    <xf numFmtId="0" fontId="50" fillId="10" borderId="4" xfId="0" applyFont="1" applyFill="1" applyBorder="1" applyProtection="1">
      <protection locked="0"/>
    </xf>
    <xf numFmtId="0" fontId="50" fillId="10" borderId="5" xfId="0" applyFont="1" applyFill="1" applyBorder="1" applyProtection="1">
      <protection locked="0"/>
    </xf>
    <xf numFmtId="0" fontId="50" fillId="10" borderId="3" xfId="0" applyFont="1" applyFill="1" applyBorder="1" applyAlignment="1" applyProtection="1">
      <alignment horizontal="center"/>
      <protection locked="0"/>
    </xf>
    <xf numFmtId="0" fontId="50" fillId="10" borderId="4" xfId="0" applyFont="1" applyFill="1" applyBorder="1" applyAlignment="1" applyProtection="1">
      <alignment horizontal="center"/>
      <protection locked="0"/>
    </xf>
    <xf numFmtId="0" fontId="50" fillId="10" borderId="5" xfId="0" applyFont="1" applyFill="1" applyBorder="1" applyAlignment="1" applyProtection="1">
      <alignment horizontal="center"/>
      <protection locked="0"/>
    </xf>
    <xf numFmtId="0" fontId="78" fillId="0" borderId="0" xfId="0" applyFont="1" applyProtection="1">
      <protection hidden="1"/>
    </xf>
    <xf numFmtId="0" fontId="64" fillId="0" borderId="0" xfId="0" applyFont="1" applyAlignment="1" applyProtection="1">
      <alignment horizontal="right"/>
      <protection hidden="1"/>
    </xf>
    <xf numFmtId="0" fontId="46" fillId="0" borderId="9" xfId="0" applyFont="1" applyBorder="1" applyAlignment="1" applyProtection="1">
      <alignment horizontal="left"/>
      <protection hidden="1"/>
    </xf>
    <xf numFmtId="0" fontId="64" fillId="0" borderId="0" xfId="0" applyFont="1" applyAlignment="1" applyProtection="1">
      <alignment vertical="center" wrapText="1"/>
      <protection hidden="1"/>
    </xf>
    <xf numFmtId="0" fontId="64" fillId="0" borderId="0" xfId="0" applyFont="1" applyAlignment="1" applyProtection="1">
      <alignment vertical="top" wrapText="1"/>
      <protection hidden="1"/>
    </xf>
    <xf numFmtId="0" fontId="48" fillId="0" borderId="0" xfId="0" applyFont="1" applyAlignment="1" applyProtection="1">
      <alignment vertical="center"/>
      <protection hidden="1"/>
    </xf>
    <xf numFmtId="0" fontId="64" fillId="0" borderId="0" xfId="0" applyFont="1" applyAlignment="1" applyProtection="1">
      <alignment horizontal="left"/>
      <protection hidden="1"/>
    </xf>
    <xf numFmtId="0" fontId="64" fillId="0" borderId="0" xfId="0" applyFont="1" applyProtection="1">
      <protection hidden="1"/>
    </xf>
    <xf numFmtId="0" fontId="64" fillId="0" borderId="0" xfId="0" applyFont="1" applyAlignment="1" applyProtection="1">
      <alignment horizontal="center"/>
      <protection hidden="1"/>
    </xf>
    <xf numFmtId="0" fontId="46" fillId="0" borderId="0" xfId="0" applyFont="1" applyAlignment="1" applyProtection="1">
      <alignment horizontal="center"/>
      <protection hidden="1"/>
    </xf>
    <xf numFmtId="168" fontId="46" fillId="0" borderId="0" xfId="0" applyNumberFormat="1" applyFont="1" applyAlignment="1" applyProtection="1">
      <alignment horizontal="center"/>
      <protection hidden="1"/>
    </xf>
    <xf numFmtId="0" fontId="4" fillId="0" borderId="0" xfId="0" applyFont="1" applyAlignment="1" applyProtection="1">
      <alignment vertical="center" wrapText="1"/>
      <protection hidden="1"/>
    </xf>
    <xf numFmtId="0" fontId="26" fillId="0" borderId="0" xfId="0" applyFont="1" applyProtection="1">
      <protection hidden="1"/>
    </xf>
    <xf numFmtId="0" fontId="4" fillId="0" borderId="0" xfId="0" applyFont="1" applyProtection="1">
      <protection hidden="1"/>
    </xf>
    <xf numFmtId="0" fontId="26" fillId="0" borderId="0" xfId="0" applyFont="1" applyAlignment="1" applyProtection="1">
      <alignment horizontal="right"/>
      <protection hidden="1"/>
    </xf>
    <xf numFmtId="0" fontId="79" fillId="0" borderId="0" xfId="0" applyFont="1" applyProtection="1">
      <protection hidden="1"/>
    </xf>
    <xf numFmtId="0" fontId="26" fillId="0" borderId="9"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vertical="center" wrapText="1"/>
      <protection hidden="1"/>
    </xf>
    <xf numFmtId="0" fontId="27" fillId="0" borderId="0" xfId="0" applyFont="1" applyAlignment="1" applyProtection="1">
      <alignment vertical="center"/>
      <protection hidden="1"/>
    </xf>
    <xf numFmtId="0" fontId="27" fillId="0" borderId="0" xfId="0" applyFont="1" applyProtection="1">
      <protection hidden="1"/>
    </xf>
    <xf numFmtId="0" fontId="27" fillId="0" borderId="0" xfId="0" applyFont="1" applyAlignment="1" applyProtection="1">
      <alignment horizontal="right" vertical="center"/>
      <protection hidden="1"/>
    </xf>
    <xf numFmtId="0" fontId="27" fillId="0" borderId="0" xfId="0" applyFont="1" applyAlignment="1" applyProtection="1">
      <alignment vertical="center" wrapText="1"/>
      <protection hidden="1"/>
    </xf>
    <xf numFmtId="0" fontId="80" fillId="0" borderId="0" xfId="0" applyFont="1" applyAlignment="1" applyProtection="1">
      <alignment vertical="center"/>
      <protection hidden="1"/>
    </xf>
    <xf numFmtId="0" fontId="81" fillId="0" borderId="0" xfId="0" applyFont="1" applyAlignment="1" applyProtection="1">
      <alignment vertical="center"/>
      <protection hidden="1"/>
    </xf>
    <xf numFmtId="0" fontId="82" fillId="0" borderId="0" xfId="0" applyFont="1" applyAlignment="1" applyProtection="1">
      <alignment horizontal="left" vertical="top"/>
      <protection hidden="1"/>
    </xf>
    <xf numFmtId="0" fontId="83" fillId="0" borderId="0" xfId="0" applyFont="1" applyProtection="1">
      <protection hidden="1"/>
    </xf>
    <xf numFmtId="0" fontId="84" fillId="0" borderId="0" xfId="0" applyFont="1" applyProtection="1">
      <protection hidden="1"/>
    </xf>
    <xf numFmtId="0" fontId="85" fillId="0" borderId="0" xfId="0" applyFont="1" applyAlignment="1" applyProtection="1">
      <alignment horizontal="lef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vertical="top"/>
      <protection hidden="1"/>
    </xf>
    <xf numFmtId="0" fontId="85" fillId="0" borderId="0" xfId="0" applyFont="1" applyAlignment="1" applyProtection="1">
      <alignment horizontal="left" vertical="top" wrapText="1"/>
      <protection hidden="1"/>
    </xf>
    <xf numFmtId="0" fontId="12" fillId="0" borderId="0" xfId="0" applyFont="1" applyAlignment="1" applyProtection="1">
      <alignment vertical="center"/>
      <protection hidden="1"/>
    </xf>
    <xf numFmtId="0" fontId="86" fillId="0" borderId="0" xfId="0" applyFont="1" applyAlignment="1" applyProtection="1">
      <alignment horizontal="left" vertical="center" wrapText="1"/>
      <protection hidden="1"/>
    </xf>
    <xf numFmtId="0" fontId="85" fillId="0" borderId="9" xfId="0" applyFont="1" applyBorder="1" applyAlignment="1" applyProtection="1">
      <alignment horizontal="left" vertical="top" wrapText="1"/>
      <protection hidden="1"/>
    </xf>
    <xf numFmtId="0" fontId="85" fillId="0" borderId="0" xfId="0" applyFont="1" applyAlignment="1" applyProtection="1">
      <alignment vertical="top"/>
      <protection hidden="1"/>
    </xf>
    <xf numFmtId="0" fontId="0" fillId="0" borderId="0" xfId="0" applyProtection="1">
      <protection hidden="1"/>
    </xf>
    <xf numFmtId="0" fontId="87" fillId="0" borderId="0" xfId="0" applyFont="1" applyAlignment="1" applyProtection="1">
      <alignment vertical="center"/>
      <protection hidden="1"/>
    </xf>
    <xf numFmtId="0" fontId="73" fillId="0" borderId="0" xfId="0" applyFont="1" applyAlignment="1" applyProtection="1">
      <alignment horizontal="left" vertical="center"/>
      <protection hidden="1"/>
    </xf>
    <xf numFmtId="0" fontId="87" fillId="0" borderId="0" xfId="0" applyFont="1" applyAlignment="1" applyProtection="1">
      <alignment horizontal="left" vertical="center"/>
      <protection hidden="1"/>
    </xf>
    <xf numFmtId="0" fontId="88" fillId="0" borderId="0" xfId="0" applyFont="1" applyProtection="1">
      <protection hidden="1"/>
    </xf>
    <xf numFmtId="0" fontId="46" fillId="0" borderId="0" xfId="0" applyFont="1" applyAlignment="1" applyProtection="1">
      <alignment horizontal="center" vertical="top"/>
      <protection hidden="1"/>
    </xf>
    <xf numFmtId="0" fontId="46" fillId="0" borderId="0" xfId="0" applyFont="1" applyAlignment="1" applyProtection="1">
      <alignment horizontal="left" vertical="top"/>
      <protection hidden="1"/>
    </xf>
    <xf numFmtId="0" fontId="46" fillId="0" borderId="0" xfId="0" applyFont="1" applyAlignment="1" applyProtection="1">
      <alignment vertical="top"/>
      <protection hidden="1"/>
    </xf>
    <xf numFmtId="0" fontId="89" fillId="0" borderId="0" xfId="49" applyFont="1" applyAlignment="1" applyProtection="1">
      <alignment horizontal="left" vertical="top"/>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left" vertical="top"/>
      <protection hidden="1"/>
    </xf>
    <xf numFmtId="0" fontId="90" fillId="0" borderId="0" xfId="0" applyFont="1" applyProtection="1">
      <protection hidden="1"/>
    </xf>
    <xf numFmtId="0" fontId="90" fillId="16" borderId="0" xfId="0" applyFont="1" applyFill="1" applyProtection="1">
      <protection hidden="1"/>
    </xf>
    <xf numFmtId="0" fontId="7" fillId="0" borderId="0" xfId="0" applyFont="1" applyAlignment="1" applyProtection="1">
      <alignment horizontal="center" vertical="top"/>
      <protection hidden="1"/>
    </xf>
    <xf numFmtId="0" fontId="4" fillId="0" borderId="0" xfId="0" applyFont="1" applyAlignment="1" applyProtection="1">
      <alignment vertical="top"/>
      <protection hidden="1"/>
    </xf>
    <xf numFmtId="0" fontId="14" fillId="0" borderId="0" xfId="0" applyFont="1" applyAlignment="1" applyProtection="1">
      <alignment horizontal="left"/>
      <protection hidden="1"/>
    </xf>
    <xf numFmtId="0" fontId="91" fillId="0" borderId="0" xfId="0" applyFont="1" applyProtection="1">
      <protection hidden="1"/>
    </xf>
    <xf numFmtId="0" fontId="46" fillId="0" borderId="0" xfId="0" applyFont="1" applyAlignment="1" applyProtection="1">
      <alignment horizontal="right" vertical="top"/>
      <protection hidden="1"/>
    </xf>
    <xf numFmtId="0" fontId="44" fillId="0" borderId="0" xfId="50" applyAlignment="1" applyProtection="1">
      <alignment horizontal="left" vertical="center"/>
      <protection hidden="1"/>
    </xf>
    <xf numFmtId="0" fontId="89" fillId="0" borderId="0" xfId="50" applyFont="1" applyAlignment="1" applyProtection="1">
      <alignment vertical="top"/>
      <protection hidden="1"/>
    </xf>
    <xf numFmtId="0" fontId="47" fillId="0" borderId="0" xfId="0" applyFont="1" applyAlignment="1" applyProtection="1">
      <alignment vertical="top"/>
      <protection hidden="1"/>
    </xf>
    <xf numFmtId="0" fontId="40" fillId="0" borderId="0" xfId="0" applyFont="1" applyAlignment="1" applyProtection="1">
      <alignment vertical="top"/>
      <protection hidden="1"/>
    </xf>
    <xf numFmtId="0" fontId="13"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47" fillId="0" borderId="0" xfId="0" applyFont="1" applyAlignment="1" applyProtection="1">
      <alignment horizontal="left" vertical="center" indent="5"/>
      <protection hidden="1"/>
    </xf>
    <xf numFmtId="0" fontId="79"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0" borderId="9" xfId="0" applyBorder="1" applyAlignment="1" applyProtection="1">
      <alignment vertical="top"/>
      <protection hidden="1"/>
    </xf>
    <xf numFmtId="0" fontId="0" fillId="0" borderId="9" xfId="0" applyBorder="1" applyProtection="1">
      <protection hidden="1"/>
    </xf>
    <xf numFmtId="0" fontId="70" fillId="0" borderId="9" xfId="0" applyFont="1" applyBorder="1" applyProtection="1">
      <protection hidden="1"/>
    </xf>
    <xf numFmtId="0" fontId="75" fillId="0" borderId="0" xfId="0" applyFont="1" applyAlignment="1" applyProtection="1">
      <alignment vertical="center"/>
      <protection hidden="1"/>
    </xf>
    <xf numFmtId="0" fontId="92" fillId="0" borderId="58" xfId="0" applyFont="1" applyBorder="1" applyAlignment="1" applyProtection="1">
      <alignment vertical="center"/>
      <protection hidden="1"/>
    </xf>
    <xf numFmtId="0" fontId="56" fillId="0" borderId="58" xfId="0" applyFont="1" applyBorder="1" applyAlignment="1" applyProtection="1">
      <alignment vertical="center"/>
      <protection hidden="1"/>
    </xf>
    <xf numFmtId="0" fontId="46" fillId="0" borderId="58" xfId="0" applyFont="1" applyBorder="1" applyProtection="1">
      <protection hidden="1"/>
    </xf>
    <xf numFmtId="0" fontId="46" fillId="0" borderId="0" xfId="0" applyFont="1" applyAlignment="1" applyProtection="1">
      <alignment horizontal="left" vertical="center" indent="8"/>
      <protection hidden="1"/>
    </xf>
    <xf numFmtId="0" fontId="46" fillId="0" borderId="0" xfId="0" applyFont="1" applyAlignment="1" applyProtection="1">
      <alignment horizontal="left" vertical="center"/>
      <protection hidden="1"/>
    </xf>
    <xf numFmtId="0" fontId="13" fillId="0" borderId="0" xfId="0" applyFont="1" applyProtection="1">
      <protection hidden="1"/>
    </xf>
    <xf numFmtId="0" fontId="70" fillId="0" borderId="0" xfId="0" applyFont="1" applyAlignment="1" applyProtection="1">
      <alignment horizontal="left" vertical="center" indent="8"/>
      <protection hidden="1"/>
    </xf>
    <xf numFmtId="0" fontId="79" fillId="0" borderId="0" xfId="0" applyFont="1" applyAlignment="1" applyProtection="1">
      <alignment horizontal="left" wrapText="1"/>
      <protection hidden="1"/>
    </xf>
    <xf numFmtId="0" fontId="57" fillId="0" borderId="0" xfId="0" applyFont="1" applyProtection="1">
      <protection hidden="1"/>
    </xf>
    <xf numFmtId="0" fontId="50" fillId="0" borderId="0" xfId="0" applyFont="1" applyAlignment="1" applyProtection="1">
      <alignment wrapText="1"/>
      <protection hidden="1"/>
    </xf>
    <xf numFmtId="0" fontId="15" fillId="0" borderId="0" xfId="0" applyFont="1" applyAlignment="1" applyProtection="1">
      <alignment horizontal="center" vertical="center" wrapText="1"/>
      <protection hidden="1"/>
    </xf>
    <xf numFmtId="0" fontId="56" fillId="0" borderId="0" xfId="52" applyFont="1" applyAlignment="1" applyProtection="1">
      <alignment horizontal="left" vertical="center" wrapText="1"/>
      <protection hidden="1"/>
    </xf>
    <xf numFmtId="0" fontId="15" fillId="0" borderId="0" xfId="52" applyFont="1" applyAlignment="1" applyProtection="1">
      <alignment horizontal="left" vertical="center"/>
      <protection hidden="1"/>
    </xf>
    <xf numFmtId="0" fontId="14" fillId="0" borderId="0" xfId="52" applyFont="1" applyProtection="1">
      <protection hidden="1"/>
    </xf>
    <xf numFmtId="0" fontId="5" fillId="0" borderId="0" xfId="52" applyFont="1" applyAlignment="1" applyProtection="1">
      <alignment vertical="center"/>
      <protection hidden="1"/>
    </xf>
    <xf numFmtId="0" fontId="13" fillId="0" borderId="2" xfId="52" applyFont="1" applyBorder="1" applyAlignment="1" applyProtection="1">
      <alignment horizontal="center" vertical="center" wrapText="1"/>
      <protection hidden="1"/>
    </xf>
    <xf numFmtId="0" fontId="13" fillId="0" borderId="2" xfId="52" applyFont="1" applyBorder="1" applyAlignment="1" applyProtection="1">
      <alignment horizontal="center" vertical="center"/>
      <protection hidden="1"/>
    </xf>
    <xf numFmtId="0" fontId="13" fillId="0" borderId="0" xfId="52" applyFont="1" applyAlignment="1" applyProtection="1">
      <alignment vertical="center"/>
      <protection hidden="1"/>
    </xf>
    <xf numFmtId="0" fontId="4" fillId="0" borderId="2" xfId="52" applyFont="1" applyBorder="1" applyAlignment="1" applyProtection="1">
      <alignment horizontal="center" vertical="center" wrapText="1"/>
      <protection hidden="1"/>
    </xf>
    <xf numFmtId="0" fontId="4" fillId="0" borderId="0" xfId="52" applyFont="1" applyAlignment="1" applyProtection="1">
      <alignment vertical="center"/>
      <protection hidden="1"/>
    </xf>
    <xf numFmtId="0" fontId="4" fillId="0" borderId="2" xfId="52" applyFont="1" applyBorder="1" applyAlignment="1" applyProtection="1">
      <alignment horizontal="center" vertical="center"/>
      <protection hidden="1"/>
    </xf>
    <xf numFmtId="5" fontId="4" fillId="0" borderId="7" xfId="30" applyNumberFormat="1" applyFont="1" applyBorder="1" applyAlignment="1" applyProtection="1">
      <alignment horizontal="center" vertical="center"/>
      <protection hidden="1"/>
    </xf>
    <xf numFmtId="0" fontId="4" fillId="0" borderId="10" xfId="52" applyFont="1" applyBorder="1" applyAlignment="1" applyProtection="1">
      <alignment horizontal="center" vertical="center"/>
      <protection hidden="1"/>
    </xf>
    <xf numFmtId="0" fontId="4" fillId="0" borderId="10" xfId="52" applyFont="1" applyBorder="1" applyAlignment="1" applyProtection="1">
      <alignment horizontal="center" vertical="center" wrapText="1"/>
      <protection hidden="1"/>
    </xf>
    <xf numFmtId="0" fontId="7" fillId="0" borderId="0" xfId="52" applyFont="1" applyAlignment="1" applyProtection="1">
      <alignment vertical="center"/>
      <protection hidden="1"/>
    </xf>
    <xf numFmtId="0" fontId="53" fillId="0" borderId="0" xfId="52" applyFont="1" applyProtection="1">
      <protection hidden="1"/>
    </xf>
    <xf numFmtId="0" fontId="10" fillId="0" borderId="0" xfId="52" applyFont="1" applyProtection="1">
      <protection hidden="1"/>
    </xf>
    <xf numFmtId="0" fontId="7" fillId="0" borderId="0" xfId="52" applyFont="1" applyAlignment="1" applyProtection="1">
      <alignment vertical="center" wrapText="1"/>
      <protection hidden="1"/>
    </xf>
    <xf numFmtId="0" fontId="4" fillId="0" borderId="7" xfId="52" applyFont="1" applyBorder="1" applyAlignment="1" applyProtection="1">
      <alignment vertical="center" wrapText="1"/>
      <protection hidden="1"/>
    </xf>
    <xf numFmtId="0" fontId="8" fillId="0" borderId="0" xfId="52" applyFont="1" applyAlignment="1" applyProtection="1">
      <alignment vertical="center"/>
      <protection hidden="1"/>
    </xf>
    <xf numFmtId="0" fontId="8" fillId="0" borderId="0" xfId="52" applyFont="1" applyAlignment="1" applyProtection="1">
      <alignment horizontal="right" vertical="center"/>
      <protection hidden="1"/>
    </xf>
    <xf numFmtId="0" fontId="9" fillId="0" borderId="0" xfId="52" applyFont="1" applyAlignment="1" applyProtection="1">
      <alignment horizontal="center" vertical="center" wrapText="1"/>
      <protection hidden="1"/>
    </xf>
    <xf numFmtId="0" fontId="54" fillId="0" borderId="11" xfId="52" applyFont="1" applyBorder="1" applyAlignment="1" applyProtection="1">
      <alignment horizontal="center" vertical="center" wrapText="1"/>
      <protection hidden="1"/>
    </xf>
    <xf numFmtId="0" fontId="13" fillId="0" borderId="0" xfId="52" applyFont="1" applyAlignment="1" applyProtection="1">
      <alignment horizontal="left" vertical="center"/>
      <protection hidden="1"/>
    </xf>
    <xf numFmtId="0" fontId="4" fillId="0" borderId="0" xfId="52" applyFont="1" applyAlignment="1" applyProtection="1">
      <alignment horizontal="left" vertical="center"/>
      <protection hidden="1"/>
    </xf>
    <xf numFmtId="0" fontId="4" fillId="0" borderId="2" xfId="52" applyFont="1" applyBorder="1" applyAlignment="1" applyProtection="1">
      <alignment horizontal="center" vertical="top" wrapText="1"/>
      <protection hidden="1"/>
    </xf>
    <xf numFmtId="0" fontId="4" fillId="0" borderId="7" xfId="52" applyFont="1" applyBorder="1" applyAlignment="1" applyProtection="1">
      <alignment horizontal="left" vertical="center"/>
      <protection hidden="1"/>
    </xf>
    <xf numFmtId="0" fontId="7" fillId="0" borderId="0" xfId="52" applyFont="1" applyAlignment="1" applyProtection="1">
      <alignment wrapText="1"/>
      <protection hidden="1"/>
    </xf>
    <xf numFmtId="0" fontId="7" fillId="0" borderId="2" xfId="52" applyFont="1" applyBorder="1" applyAlignment="1" applyProtection="1">
      <alignment horizontal="center" vertical="center"/>
      <protection hidden="1"/>
    </xf>
    <xf numFmtId="0" fontId="7" fillId="0" borderId="2" xfId="52" applyFont="1" applyBorder="1" applyAlignment="1" applyProtection="1">
      <alignment horizontal="center" vertical="center" wrapText="1"/>
      <protection hidden="1"/>
    </xf>
    <xf numFmtId="0" fontId="7" fillId="0" borderId="2" xfId="52" applyFont="1" applyBorder="1" applyAlignment="1" applyProtection="1">
      <alignment vertical="center"/>
      <protection hidden="1"/>
    </xf>
    <xf numFmtId="5" fontId="94" fillId="0" borderId="2" xfId="30" applyNumberFormat="1" applyFont="1" applyBorder="1" applyAlignment="1" applyProtection="1">
      <alignment horizontal="center" vertical="center"/>
      <protection hidden="1"/>
    </xf>
    <xf numFmtId="0" fontId="24" fillId="17" borderId="13" xfId="53" applyFont="1" applyFill="1" applyBorder="1" applyAlignment="1" applyProtection="1">
      <alignment horizontal="center" vertical="center" wrapText="1"/>
      <protection hidden="1"/>
    </xf>
    <xf numFmtId="172" fontId="7" fillId="0" borderId="2" xfId="0" applyNumberFormat="1" applyFont="1" applyBorder="1" applyProtection="1">
      <protection hidden="1"/>
    </xf>
    <xf numFmtId="172" fontId="7" fillId="10" borderId="11" xfId="0" applyNumberFormat="1" applyFont="1" applyFill="1" applyBorder="1" applyProtection="1">
      <protection hidden="1"/>
    </xf>
    <xf numFmtId="0" fontId="22" fillId="0" borderId="0" xfId="0" applyFont="1" applyAlignment="1" applyProtection="1">
      <alignment vertical="center"/>
      <protection hidden="1"/>
    </xf>
    <xf numFmtId="0" fontId="50" fillId="0" borderId="9" xfId="0" applyFont="1" applyBorder="1" applyAlignment="1" applyProtection="1">
      <alignment horizontal="left"/>
      <protection hidden="1"/>
    </xf>
    <xf numFmtId="0" fontId="50" fillId="0" borderId="9" xfId="0" applyFont="1" applyBorder="1" applyProtection="1">
      <protection hidden="1"/>
    </xf>
    <xf numFmtId="0" fontId="50" fillId="0" borderId="0" xfId="0" applyFont="1" applyProtection="1">
      <protection hidden="1"/>
    </xf>
    <xf numFmtId="0" fontId="51" fillId="0" borderId="0" xfId="0" applyFont="1" applyProtection="1">
      <protection hidden="1"/>
    </xf>
    <xf numFmtId="0" fontId="50" fillId="0" borderId="7" xfId="0" applyFont="1" applyBorder="1" applyProtection="1">
      <protection hidden="1"/>
    </xf>
    <xf numFmtId="0" fontId="50" fillId="0" borderId="13" xfId="0" applyFont="1" applyBorder="1" applyProtection="1">
      <protection hidden="1"/>
    </xf>
    <xf numFmtId="0" fontId="0" fillId="0" borderId="13" xfId="0" applyBorder="1" applyProtection="1">
      <protection hidden="1"/>
    </xf>
    <xf numFmtId="173" fontId="50" fillId="0" borderId="9" xfId="0" applyNumberFormat="1" applyFont="1" applyBorder="1" applyAlignment="1" applyProtection="1">
      <alignment horizontal="left"/>
      <protection hidden="1"/>
    </xf>
    <xf numFmtId="0" fontId="93" fillId="0" borderId="0" xfId="0" applyFont="1" applyAlignment="1" applyProtection="1">
      <alignment vertical="center"/>
      <protection hidden="1"/>
    </xf>
    <xf numFmtId="0" fontId="95" fillId="0" borderId="0" xfId="0" applyFont="1" applyAlignment="1" applyProtection="1">
      <alignment vertical="center"/>
      <protection hidden="1"/>
    </xf>
    <xf numFmtId="0" fontId="28" fillId="12" borderId="2" xfId="0" applyFont="1" applyFill="1" applyBorder="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50" fillId="0" borderId="2" xfId="0" applyFont="1" applyBorder="1" applyProtection="1">
      <protection hidden="1"/>
    </xf>
    <xf numFmtId="0" fontId="96" fillId="0" borderId="11" xfId="52" applyFont="1" applyBorder="1" applyAlignment="1" applyProtection="1">
      <alignment horizontal="center" vertical="center" wrapText="1"/>
      <protection hidden="1"/>
    </xf>
    <xf numFmtId="0" fontId="97" fillId="0" borderId="2" xfId="52" applyFont="1" applyBorder="1" applyAlignment="1" applyProtection="1">
      <alignment horizontal="center" vertical="center"/>
      <protection hidden="1"/>
    </xf>
    <xf numFmtId="3" fontId="97" fillId="0" borderId="2" xfId="52" applyNumberFormat="1" applyFont="1" applyBorder="1" applyAlignment="1" applyProtection="1">
      <alignment horizontal="center" vertical="center" wrapText="1"/>
      <protection hidden="1"/>
    </xf>
    <xf numFmtId="171" fontId="97" fillId="0" borderId="2" xfId="52" applyNumberFormat="1" applyFont="1" applyBorder="1" applyAlignment="1" applyProtection="1">
      <alignment horizontal="center" vertical="center" wrapText="1"/>
      <protection hidden="1"/>
    </xf>
    <xf numFmtId="170" fontId="97" fillId="0" borderId="2" xfId="52" applyNumberFormat="1" applyFont="1" applyBorder="1" applyAlignment="1" applyProtection="1">
      <alignment horizontal="center" vertical="center" wrapText="1"/>
      <protection hidden="1"/>
    </xf>
    <xf numFmtId="1" fontId="97" fillId="0" borderId="11" xfId="52" applyNumberFormat="1" applyFont="1" applyBorder="1" applyAlignment="1" applyProtection="1">
      <alignment horizontal="center" vertical="center" wrapText="1"/>
      <protection hidden="1"/>
    </xf>
    <xf numFmtId="164" fontId="97" fillId="0" borderId="2" xfId="29" applyNumberFormat="1" applyFont="1" applyBorder="1" applyAlignment="1" applyProtection="1">
      <alignment horizontal="center"/>
      <protection hidden="1"/>
    </xf>
    <xf numFmtId="3" fontId="46" fillId="0" borderId="2" xfId="0" applyNumberFormat="1" applyFont="1" applyBorder="1" applyAlignment="1" applyProtection="1">
      <alignment horizontal="center"/>
      <protection hidden="1"/>
    </xf>
    <xf numFmtId="171" fontId="4" fillId="0" borderId="2" xfId="52" applyNumberFormat="1" applyFont="1" applyBorder="1" applyAlignment="1" applyProtection="1">
      <alignment horizontal="center" vertical="center" wrapText="1"/>
      <protection hidden="1"/>
    </xf>
    <xf numFmtId="170" fontId="4" fillId="0" borderId="2" xfId="52" applyNumberFormat="1" applyFont="1" applyBorder="1" applyAlignment="1" applyProtection="1">
      <alignment horizontal="center" vertical="center" wrapText="1"/>
      <protection hidden="1"/>
    </xf>
    <xf numFmtId="0" fontId="46" fillId="0" borderId="11" xfId="0" applyFont="1" applyBorder="1" applyProtection="1">
      <protection hidden="1"/>
    </xf>
    <xf numFmtId="171" fontId="46" fillId="0" borderId="2" xfId="0" applyNumberFormat="1" applyFont="1" applyBorder="1" applyAlignment="1" applyProtection="1">
      <alignment horizontal="center"/>
      <protection hidden="1"/>
    </xf>
    <xf numFmtId="170" fontId="46" fillId="0" borderId="2" xfId="0" applyNumberFormat="1" applyFont="1" applyBorder="1" applyAlignment="1" applyProtection="1">
      <alignment horizontal="center"/>
      <protection hidden="1"/>
    </xf>
    <xf numFmtId="164" fontId="46" fillId="0" borderId="2" xfId="29" applyNumberFormat="1" applyFont="1" applyBorder="1" applyProtection="1">
      <protection hidden="1"/>
    </xf>
    <xf numFmtId="0" fontId="96" fillId="0" borderId="0" xfId="52" applyFont="1" applyAlignment="1" applyProtection="1">
      <alignment horizontal="center" vertical="center" wrapText="1"/>
      <protection hidden="1"/>
    </xf>
    <xf numFmtId="44" fontId="46" fillId="0" borderId="2" xfId="0" applyNumberFormat="1" applyFont="1" applyBorder="1" applyProtection="1">
      <protection hidden="1"/>
    </xf>
    <xf numFmtId="164" fontId="46" fillId="0" borderId="2" xfId="29" applyNumberFormat="1" applyFont="1" applyBorder="1" applyAlignment="1" applyProtection="1">
      <alignment horizontal="center"/>
      <protection hidden="1"/>
    </xf>
    <xf numFmtId="0" fontId="42" fillId="12" borderId="6" xfId="0" applyFont="1" applyFill="1" applyBorder="1" applyAlignment="1">
      <alignment horizontal="center"/>
    </xf>
    <xf numFmtId="0" fontId="42" fillId="12" borderId="10" xfId="0" applyFont="1" applyFill="1" applyBorder="1" applyAlignment="1">
      <alignment horizontal="center"/>
    </xf>
    <xf numFmtId="174" fontId="41" fillId="0" borderId="2" xfId="4" applyNumberFormat="1" applyFont="1" applyBorder="1" applyAlignment="1">
      <alignment vertical="center"/>
    </xf>
    <xf numFmtId="0" fontId="53" fillId="0" borderId="7" xfId="0" applyFont="1" applyBorder="1" applyProtection="1">
      <protection hidden="1"/>
    </xf>
    <xf numFmtId="0" fontId="58" fillId="3" borderId="6" xfId="0" applyFont="1" applyFill="1" applyBorder="1" applyAlignment="1" applyProtection="1">
      <alignment horizontal="center"/>
      <protection hidden="1"/>
    </xf>
    <xf numFmtId="0" fontId="59" fillId="3" borderId="11" xfId="0" applyFont="1" applyFill="1" applyBorder="1" applyAlignment="1" applyProtection="1">
      <alignment horizontal="center"/>
      <protection hidden="1"/>
    </xf>
    <xf numFmtId="0" fontId="48" fillId="8" borderId="2" xfId="0" applyFont="1" applyFill="1" applyBorder="1" applyAlignment="1" applyProtection="1">
      <alignment horizontal="center"/>
      <protection hidden="1"/>
    </xf>
    <xf numFmtId="166" fontId="47" fillId="0" borderId="2" xfId="3" applyNumberFormat="1" applyFont="1" applyBorder="1" applyAlignment="1" applyProtection="1">
      <alignment horizontal="center"/>
      <protection hidden="1"/>
    </xf>
    <xf numFmtId="0" fontId="58" fillId="3" borderId="15" xfId="0" applyFont="1" applyFill="1" applyBorder="1" applyAlignment="1" applyProtection="1">
      <alignment horizontal="center"/>
      <protection hidden="1"/>
    </xf>
    <xf numFmtId="0" fontId="58" fillId="3" borderId="3" xfId="0" applyFont="1" applyFill="1" applyBorder="1" applyProtection="1">
      <protection hidden="1"/>
    </xf>
    <xf numFmtId="0" fontId="58" fillId="3" borderId="5" xfId="0" applyFont="1" applyFill="1" applyBorder="1" applyProtection="1">
      <protection hidden="1"/>
    </xf>
    <xf numFmtId="0" fontId="47" fillId="0" borderId="5" xfId="0" applyFont="1" applyBorder="1" applyProtection="1">
      <protection hidden="1"/>
    </xf>
    <xf numFmtId="9" fontId="47" fillId="0" borderId="5" xfId="0" applyNumberFormat="1" applyFont="1" applyBorder="1" applyProtection="1">
      <protection hidden="1"/>
    </xf>
    <xf numFmtId="0" fontId="53" fillId="0" borderId="6" xfId="0" applyFont="1" applyBorder="1" applyProtection="1">
      <protection hidden="1"/>
    </xf>
    <xf numFmtId="0" fontId="59" fillId="3" borderId="0" xfId="0" applyFont="1" applyFill="1" applyProtection="1">
      <protection hidden="1"/>
    </xf>
    <xf numFmtId="0" fontId="48" fillId="8" borderId="4" xfId="0" applyFont="1" applyFill="1" applyBorder="1" applyProtection="1">
      <protection hidden="1"/>
    </xf>
    <xf numFmtId="9" fontId="47" fillId="0" borderId="3" xfId="0" applyNumberFormat="1" applyFont="1" applyBorder="1" applyProtection="1">
      <protection hidden="1"/>
    </xf>
    <xf numFmtId="2" fontId="47" fillId="0" borderId="4" xfId="0" applyNumberFormat="1" applyFont="1" applyBorder="1" applyAlignment="1" applyProtection="1">
      <alignment horizontal="center"/>
      <protection hidden="1"/>
    </xf>
    <xf numFmtId="9" fontId="41" fillId="0" borderId="2" xfId="60" applyFont="1" applyBorder="1" applyAlignment="1">
      <alignment horizontal="center" vertical="center"/>
    </xf>
    <xf numFmtId="0" fontId="61" fillId="3" borderId="6" xfId="0" applyFont="1" applyFill="1" applyBorder="1" applyAlignment="1" applyProtection="1">
      <alignment horizontal="center"/>
      <protection hidden="1"/>
    </xf>
    <xf numFmtId="2" fontId="41" fillId="0" borderId="2" xfId="60" applyNumberFormat="1" applyFont="1" applyBorder="1" applyAlignment="1">
      <alignment horizontal="center" vertical="center"/>
    </xf>
    <xf numFmtId="2" fontId="47" fillId="0" borderId="5" xfId="0" applyNumberFormat="1" applyFont="1" applyBorder="1" applyAlignment="1" applyProtection="1">
      <alignment horizontal="center"/>
      <protection hidden="1"/>
    </xf>
    <xf numFmtId="44" fontId="47" fillId="0" borderId="5" xfId="29" applyFont="1" applyBorder="1" applyAlignment="1" applyProtection="1">
      <alignment horizontal="center"/>
      <protection hidden="1"/>
    </xf>
    <xf numFmtId="0" fontId="4" fillId="0" borderId="6" xfId="52" applyFont="1" applyBorder="1" applyAlignment="1" applyProtection="1">
      <alignment horizontal="center" vertical="center" wrapText="1"/>
      <protection hidden="1"/>
    </xf>
    <xf numFmtId="0" fontId="4" fillId="0" borderId="11" xfId="52" applyFont="1" applyBorder="1" applyAlignment="1" applyProtection="1">
      <alignment horizontal="center" vertical="center" wrapText="1"/>
      <protection hidden="1"/>
    </xf>
    <xf numFmtId="44" fontId="47" fillId="0" borderId="12" xfId="0" applyNumberFormat="1" applyFont="1" applyBorder="1" applyAlignment="1" applyProtection="1">
      <alignment horizontal="center"/>
      <protection hidden="1"/>
    </xf>
    <xf numFmtId="1" fontId="47" fillId="0" borderId="4" xfId="0" applyNumberFormat="1" applyFont="1" applyBorder="1" applyAlignment="1" applyProtection="1">
      <alignment horizontal="center"/>
      <protection hidden="1"/>
    </xf>
    <xf numFmtId="0" fontId="50" fillId="10" borderId="2" xfId="0" applyFont="1" applyFill="1" applyBorder="1" applyProtection="1">
      <protection hidden="1"/>
    </xf>
    <xf numFmtId="0" fontId="15" fillId="0" borderId="0" xfId="0" applyFont="1" applyAlignment="1" applyProtection="1">
      <alignment vertical="center" wrapText="1"/>
      <protection hidden="1"/>
    </xf>
    <xf numFmtId="172" fontId="4" fillId="0" borderId="2" xfId="30" applyNumberFormat="1" applyFont="1" applyBorder="1" applyAlignment="1" applyProtection="1">
      <alignment horizontal="center" vertical="center"/>
      <protection hidden="1"/>
    </xf>
    <xf numFmtId="0" fontId="7" fillId="0" borderId="15" xfId="52" applyFont="1" applyBorder="1" applyAlignment="1" applyProtection="1">
      <alignment vertical="center"/>
      <protection hidden="1"/>
    </xf>
    <xf numFmtId="0" fontId="7" fillId="0" borderId="15" xfId="52" applyFont="1" applyBorder="1" applyProtection="1">
      <protection hidden="1"/>
    </xf>
    <xf numFmtId="0" fontId="59" fillId="4" borderId="2" xfId="0" applyFont="1" applyFill="1" applyBorder="1" applyAlignment="1" applyProtection="1">
      <alignment horizontal="center" wrapText="1"/>
      <protection hidden="1"/>
    </xf>
    <xf numFmtId="0" fontId="3" fillId="0" borderId="0" xfId="52" applyFont="1" applyAlignment="1" applyProtection="1">
      <alignment horizontal="left"/>
      <protection hidden="1"/>
    </xf>
    <xf numFmtId="0" fontId="3" fillId="0" borderId="0" xfId="52" applyFont="1" applyProtection="1">
      <protection hidden="1"/>
    </xf>
    <xf numFmtId="0" fontId="59" fillId="0" borderId="0" xfId="0" applyFont="1" applyAlignment="1" applyProtection="1">
      <alignment horizontal="center"/>
      <protection hidden="1"/>
    </xf>
    <xf numFmtId="0" fontId="46" fillId="19" borderId="7" xfId="0" applyFont="1" applyFill="1" applyBorder="1" applyProtection="1">
      <protection hidden="1"/>
    </xf>
    <xf numFmtId="0" fontId="59" fillId="12" borderId="2" xfId="0" applyFont="1" applyFill="1" applyBorder="1" applyAlignment="1" applyProtection="1">
      <alignment horizontal="center" vertical="center" wrapText="1"/>
      <protection hidden="1"/>
    </xf>
    <xf numFmtId="0" fontId="59" fillId="4" borderId="2" xfId="0" applyFont="1" applyFill="1" applyBorder="1" applyAlignment="1" applyProtection="1">
      <alignment horizontal="center" vertical="center" wrapText="1"/>
      <protection hidden="1"/>
    </xf>
    <xf numFmtId="0" fontId="103" fillId="0" borderId="0" xfId="0" applyFont="1" applyProtection="1">
      <protection hidden="1"/>
    </xf>
    <xf numFmtId="0" fontId="28" fillId="12" borderId="16" xfId="0" applyFont="1" applyFill="1" applyBorder="1" applyAlignment="1">
      <alignment horizontal="center" vertical="center"/>
    </xf>
    <xf numFmtId="49" fontId="0" fillId="0" borderId="0" xfId="0" applyNumberFormat="1"/>
    <xf numFmtId="49" fontId="0" fillId="0" borderId="2" xfId="0" applyNumberFormat="1" applyBorder="1"/>
    <xf numFmtId="0" fontId="42" fillId="12" borderId="2" xfId="0" applyFont="1" applyFill="1" applyBorder="1" applyAlignment="1">
      <alignment horizontal="center"/>
    </xf>
    <xf numFmtId="0" fontId="101" fillId="0" borderId="0" xfId="0" applyFont="1" applyProtection="1">
      <protection hidden="1"/>
    </xf>
    <xf numFmtId="0" fontId="61" fillId="3" borderId="16" xfId="0" applyFont="1" applyFill="1" applyBorder="1" applyAlignment="1" applyProtection="1">
      <alignment horizontal="center"/>
      <protection hidden="1"/>
    </xf>
    <xf numFmtId="0" fontId="61" fillId="3" borderId="15" xfId="0" applyFont="1" applyFill="1" applyBorder="1" applyAlignment="1" applyProtection="1">
      <alignment horizontal="center"/>
      <protection hidden="1"/>
    </xf>
    <xf numFmtId="0" fontId="61" fillId="3" borderId="14" xfId="0" applyFont="1" applyFill="1" applyBorder="1" applyAlignment="1" applyProtection="1">
      <alignment horizontal="center"/>
      <protection hidden="1"/>
    </xf>
    <xf numFmtId="0" fontId="59" fillId="3" borderId="16" xfId="0" applyFont="1" applyFill="1" applyBorder="1" applyAlignment="1" applyProtection="1">
      <alignment horizontal="center"/>
      <protection hidden="1"/>
    </xf>
    <xf numFmtId="0" fontId="59" fillId="3" borderId="15" xfId="0" applyFont="1" applyFill="1" applyBorder="1" applyAlignment="1" applyProtection="1">
      <alignment horizontal="center"/>
      <protection hidden="1"/>
    </xf>
    <xf numFmtId="0" fontId="7" fillId="0" borderId="7" xfId="52" applyFont="1" applyBorder="1" applyAlignment="1" applyProtection="1">
      <alignment wrapText="1"/>
      <protection hidden="1"/>
    </xf>
    <xf numFmtId="0" fontId="14" fillId="0" borderId="7" xfId="52" applyFont="1" applyBorder="1" applyProtection="1">
      <protection hidden="1"/>
    </xf>
    <xf numFmtId="0" fontId="24" fillId="19" borderId="0" xfId="53" applyFont="1" applyFill="1" applyAlignment="1" applyProtection="1">
      <alignment horizontal="center" vertical="center" wrapText="1"/>
      <protection hidden="1"/>
    </xf>
    <xf numFmtId="0" fontId="46" fillId="0" borderId="15" xfId="0" applyFont="1" applyBorder="1" applyProtection="1">
      <protection hidden="1"/>
    </xf>
    <xf numFmtId="44" fontId="47" fillId="0" borderId="4" xfId="29" applyFont="1" applyBorder="1" applyAlignment="1" applyProtection="1">
      <alignment horizontal="center"/>
      <protection hidden="1"/>
    </xf>
    <xf numFmtId="0" fontId="59" fillId="3" borderId="6" xfId="0" applyFont="1" applyFill="1" applyBorder="1" applyAlignment="1" applyProtection="1">
      <alignment horizontal="center"/>
      <protection hidden="1"/>
    </xf>
    <xf numFmtId="0" fontId="59" fillId="3" borderId="10" xfId="0" applyFont="1" applyFill="1" applyBorder="1" applyAlignment="1" applyProtection="1">
      <alignment horizontal="center"/>
      <protection hidden="1"/>
    </xf>
    <xf numFmtId="166" fontId="47" fillId="0" borderId="3" xfId="0" applyNumberFormat="1" applyFont="1" applyBorder="1" applyProtection="1">
      <protection hidden="1"/>
    </xf>
    <xf numFmtId="169" fontId="4" fillId="0" borderId="2" xfId="30" applyNumberFormat="1" applyFont="1" applyBorder="1" applyAlignment="1" applyProtection="1">
      <alignment horizontal="center" vertical="center"/>
      <protection hidden="1"/>
    </xf>
    <xf numFmtId="0" fontId="21" fillId="0" borderId="61" xfId="0" applyFont="1" applyBorder="1" applyAlignment="1">
      <alignment horizontal="left" wrapText="1"/>
    </xf>
    <xf numFmtId="6" fontId="47" fillId="0" borderId="12" xfId="0" applyNumberFormat="1" applyFont="1" applyBorder="1" applyAlignment="1" applyProtection="1">
      <alignment horizontal="center"/>
      <protection hidden="1"/>
    </xf>
    <xf numFmtId="166" fontId="47" fillId="0" borderId="4" xfId="0" applyNumberFormat="1" applyFont="1" applyBorder="1" applyAlignment="1" applyProtection="1">
      <alignment horizontal="left"/>
      <protection hidden="1"/>
    </xf>
    <xf numFmtId="172" fontId="47" fillId="0" borderId="5" xfId="29" applyNumberFormat="1" applyFont="1" applyBorder="1" applyAlignment="1" applyProtection="1">
      <alignment horizontal="center"/>
      <protection hidden="1"/>
    </xf>
    <xf numFmtId="0" fontId="27" fillId="0" borderId="15" xfId="0" applyFont="1" applyBorder="1" applyAlignment="1" applyProtection="1">
      <alignment vertical="center"/>
      <protection hidden="1"/>
    </xf>
    <xf numFmtId="0" fontId="27" fillId="0" borderId="15" xfId="0" applyFont="1" applyBorder="1" applyProtection="1">
      <protection hidden="1"/>
    </xf>
    <xf numFmtId="173" fontId="3" fillId="0" borderId="0" xfId="52" applyNumberFormat="1" applyFont="1" applyAlignment="1" applyProtection="1">
      <alignment horizontal="left"/>
      <protection hidden="1"/>
    </xf>
    <xf numFmtId="0" fontId="59" fillId="12" borderId="4" xfId="0" applyFont="1" applyFill="1" applyBorder="1" applyProtection="1">
      <protection hidden="1"/>
    </xf>
    <xf numFmtId="0" fontId="7" fillId="19" borderId="2" xfId="0" applyFont="1" applyFill="1" applyBorder="1" applyProtection="1">
      <protection locked="0"/>
    </xf>
    <xf numFmtId="0" fontId="7" fillId="10" borderId="2" xfId="0" applyFont="1" applyFill="1" applyBorder="1" applyAlignment="1" applyProtection="1">
      <alignment horizontal="center"/>
      <protection locked="0"/>
    </xf>
    <xf numFmtId="0" fontId="50" fillId="0" borderId="0" xfId="0" applyFont="1" applyAlignment="1" applyProtection="1">
      <alignment horizontal="right"/>
      <protection locked="0"/>
    </xf>
    <xf numFmtId="0" fontId="3" fillId="10" borderId="4" xfId="0" applyFont="1" applyFill="1" applyBorder="1" applyAlignment="1" applyProtection="1">
      <alignment horizontal="left"/>
      <protection locked="0"/>
    </xf>
    <xf numFmtId="0" fontId="90" fillId="10" borderId="4" xfId="0" applyFont="1" applyFill="1" applyBorder="1" applyProtection="1">
      <protection locked="0"/>
    </xf>
    <xf numFmtId="0" fontId="50" fillId="10" borderId="4" xfId="0" applyFont="1" applyFill="1" applyBorder="1" applyAlignment="1" applyProtection="1">
      <alignment horizontal="left"/>
      <protection locked="0"/>
    </xf>
    <xf numFmtId="0" fontId="0" fillId="10" borderId="4" xfId="0" applyFill="1" applyBorder="1" applyProtection="1">
      <protection locked="0"/>
    </xf>
    <xf numFmtId="0" fontId="5" fillId="19" borderId="0" xfId="52" applyFont="1" applyFill="1" applyAlignment="1" applyProtection="1">
      <alignment vertical="center"/>
      <protection hidden="1"/>
    </xf>
    <xf numFmtId="0" fontId="4" fillId="19" borderId="0" xfId="52" applyFont="1" applyFill="1" applyAlignment="1" applyProtection="1">
      <alignment horizontal="center" vertical="center" wrapText="1"/>
      <protection hidden="1"/>
    </xf>
    <xf numFmtId="0" fontId="4" fillId="19" borderId="9" xfId="52" applyFont="1" applyFill="1" applyBorder="1" applyAlignment="1" applyProtection="1">
      <alignment horizontal="center" vertical="center" wrapText="1"/>
      <protection hidden="1"/>
    </xf>
    <xf numFmtId="5" fontId="4" fillId="19" borderId="0" xfId="30" applyNumberFormat="1" applyFont="1" applyFill="1" applyBorder="1" applyAlignment="1" applyProtection="1">
      <alignment horizontal="center" vertical="center"/>
      <protection hidden="1"/>
    </xf>
    <xf numFmtId="0" fontId="4" fillId="19" borderId="9" xfId="52" applyFont="1" applyFill="1" applyBorder="1" applyAlignment="1" applyProtection="1">
      <alignment horizontal="center" vertical="center"/>
      <protection hidden="1"/>
    </xf>
    <xf numFmtId="5" fontId="4" fillId="19" borderId="9" xfId="30" applyNumberFormat="1" applyFont="1" applyFill="1" applyBorder="1" applyAlignment="1" applyProtection="1">
      <alignment horizontal="center" vertical="center"/>
      <protection hidden="1"/>
    </xf>
    <xf numFmtId="0" fontId="24" fillId="19" borderId="7" xfId="53" applyFont="1" applyFill="1" applyBorder="1" applyAlignment="1" applyProtection="1">
      <alignment horizontal="center" vertical="center" wrapText="1"/>
      <protection hidden="1"/>
    </xf>
    <xf numFmtId="0" fontId="46" fillId="0" borderId="7" xfId="0" applyFont="1" applyBorder="1" applyProtection="1">
      <protection hidden="1"/>
    </xf>
    <xf numFmtId="0" fontId="24" fillId="17" borderId="14" xfId="53" applyFont="1" applyFill="1" applyBorder="1" applyAlignment="1" applyProtection="1">
      <alignment vertical="center" wrapText="1"/>
      <protection hidden="1"/>
    </xf>
    <xf numFmtId="0" fontId="24" fillId="17" borderId="12" xfId="53" applyFont="1" applyFill="1" applyBorder="1" applyAlignment="1" applyProtection="1">
      <alignment vertical="center" wrapText="1"/>
      <protection hidden="1"/>
    </xf>
    <xf numFmtId="0" fontId="101" fillId="0" borderId="12" xfId="0" applyFont="1" applyBorder="1" applyProtection="1">
      <protection hidden="1"/>
    </xf>
    <xf numFmtId="177" fontId="47" fillId="0" borderId="5" xfId="0" applyNumberFormat="1" applyFont="1" applyBorder="1" applyProtection="1">
      <protection hidden="1"/>
    </xf>
    <xf numFmtId="1" fontId="47" fillId="0" borderId="4" xfId="3" applyNumberFormat="1" applyFont="1" applyBorder="1" applyAlignment="1" applyProtection="1">
      <alignment horizontal="center"/>
      <protection hidden="1"/>
    </xf>
    <xf numFmtId="0" fontId="51" fillId="0" borderId="17" xfId="0" applyFont="1" applyBorder="1" applyAlignment="1" applyProtection="1">
      <alignment horizontal="right"/>
      <protection hidden="1"/>
    </xf>
    <xf numFmtId="169" fontId="51" fillId="0" borderId="12" xfId="0" applyNumberFormat="1" applyFont="1" applyBorder="1" applyProtection="1">
      <protection hidden="1"/>
    </xf>
    <xf numFmtId="4" fontId="19" fillId="0" borderId="14" xfId="4" applyNumberFormat="1" applyFont="1" applyBorder="1" applyAlignment="1" applyProtection="1">
      <alignment horizontal="right" vertical="center"/>
      <protection hidden="1"/>
    </xf>
    <xf numFmtId="3" fontId="19" fillId="0" borderId="13" xfId="4" applyNumberFormat="1" applyFont="1" applyBorder="1" applyAlignment="1" applyProtection="1">
      <alignment horizontal="right" vertical="center" wrapText="1"/>
      <protection hidden="1"/>
    </xf>
    <xf numFmtId="169" fontId="51" fillId="0" borderId="13" xfId="0" applyNumberFormat="1" applyFont="1" applyBorder="1" applyAlignment="1" applyProtection="1">
      <alignment horizontal="right"/>
      <protection hidden="1"/>
    </xf>
    <xf numFmtId="169" fontId="51" fillId="0" borderId="12" xfId="0" applyNumberFormat="1" applyFont="1" applyBorder="1" applyAlignment="1" applyProtection="1">
      <alignment horizontal="right"/>
      <protection hidden="1"/>
    </xf>
    <xf numFmtId="4" fontId="19" fillId="0" borderId="13" xfId="4" applyNumberFormat="1" applyFont="1" applyBorder="1" applyAlignment="1" applyProtection="1">
      <alignment horizontal="right" vertical="center" wrapText="1"/>
      <protection hidden="1"/>
    </xf>
    <xf numFmtId="0" fontId="7" fillId="15" borderId="2" xfId="0" applyFont="1" applyFill="1" applyBorder="1" applyProtection="1">
      <protection locked="0"/>
    </xf>
    <xf numFmtId="9" fontId="7" fillId="15" borderId="2" xfId="60" applyFont="1" applyFill="1" applyBorder="1" applyProtection="1">
      <protection locked="0"/>
    </xf>
    <xf numFmtId="0" fontId="42" fillId="12" borderId="2" xfId="0" applyFont="1" applyFill="1" applyBorder="1" applyAlignment="1">
      <alignment horizontal="left"/>
    </xf>
    <xf numFmtId="0" fontId="0" fillId="0" borderId="0" xfId="0" applyAlignment="1">
      <alignment horizontal="left"/>
    </xf>
    <xf numFmtId="0" fontId="3" fillId="0" borderId="0" xfId="52" applyFont="1" applyAlignment="1" applyProtection="1">
      <alignment horizontal="left" vertical="top"/>
      <protection hidden="1"/>
    </xf>
    <xf numFmtId="173" fontId="43" fillId="0" borderId="0" xfId="49" applyNumberFormat="1" applyBorder="1" applyAlignment="1" applyProtection="1">
      <alignment vertical="top"/>
      <protection hidden="1"/>
    </xf>
    <xf numFmtId="1" fontId="41" fillId="0" borderId="2" xfId="60" applyNumberFormat="1" applyFont="1" applyBorder="1" applyAlignment="1">
      <alignment horizontal="center" vertical="center"/>
    </xf>
    <xf numFmtId="173" fontId="3" fillId="0" borderId="0" xfId="52" applyNumberFormat="1" applyFont="1" applyProtection="1">
      <protection hidden="1"/>
    </xf>
    <xf numFmtId="0" fontId="65" fillId="0" borderId="0" xfId="0" applyFont="1" applyAlignment="1" applyProtection="1">
      <alignment horizontal="left"/>
      <protection hidden="1"/>
    </xf>
    <xf numFmtId="3" fontId="7" fillId="3" borderId="2" xfId="0" applyNumberFormat="1" applyFont="1" applyFill="1" applyBorder="1" applyProtection="1">
      <protection hidden="1"/>
    </xf>
    <xf numFmtId="37" fontId="7" fillId="3" borderId="11" xfId="3" applyNumberFormat="1" applyFont="1" applyFill="1" applyBorder="1" applyProtection="1">
      <protection hidden="1"/>
    </xf>
    <xf numFmtId="3" fontId="7" fillId="10" borderId="2" xfId="3" applyNumberFormat="1" applyFont="1" applyFill="1" applyBorder="1" applyProtection="1">
      <protection locked="0"/>
    </xf>
    <xf numFmtId="3" fontId="7" fillId="10" borderId="2" xfId="0" applyNumberFormat="1" applyFont="1" applyFill="1" applyBorder="1" applyProtection="1">
      <protection locked="0"/>
    </xf>
    <xf numFmtId="167" fontId="41" fillId="0" borderId="2" xfId="60" applyNumberFormat="1" applyFont="1" applyBorder="1" applyAlignment="1">
      <alignment horizontal="center" vertical="center"/>
    </xf>
    <xf numFmtId="9" fontId="7" fillId="3" borderId="2" xfId="0" applyNumberFormat="1" applyFont="1" applyFill="1" applyBorder="1" applyProtection="1">
      <protection hidden="1"/>
    </xf>
    <xf numFmtId="166" fontId="7" fillId="3" borderId="2" xfId="0" applyNumberFormat="1" applyFont="1" applyFill="1" applyBorder="1" applyProtection="1">
      <protection hidden="1"/>
    </xf>
    <xf numFmtId="0" fontId="7" fillId="3" borderId="2" xfId="0" applyFont="1" applyFill="1" applyBorder="1" applyAlignment="1" applyProtection="1">
      <alignment horizontal="center"/>
      <protection hidden="1"/>
    </xf>
    <xf numFmtId="1" fontId="47" fillId="0" borderId="0" xfId="0" applyNumberFormat="1" applyFont="1" applyAlignment="1" applyProtection="1">
      <alignment horizontal="center"/>
      <protection hidden="1"/>
    </xf>
    <xf numFmtId="178" fontId="47" fillId="0" borderId="0" xfId="0" applyNumberFormat="1" applyFont="1" applyAlignment="1" applyProtection="1">
      <alignment horizontal="center"/>
      <protection hidden="1"/>
    </xf>
    <xf numFmtId="179" fontId="19" fillId="0" borderId="13" xfId="4" applyNumberFormat="1" applyFont="1" applyBorder="1" applyAlignment="1" applyProtection="1">
      <alignment vertical="center" wrapText="1"/>
      <protection hidden="1"/>
    </xf>
    <xf numFmtId="0" fontId="47" fillId="0" borderId="0" xfId="0" applyFont="1" applyAlignment="1" applyProtection="1">
      <alignment horizontal="right" vertical="top"/>
      <protection hidden="1"/>
    </xf>
    <xf numFmtId="0" fontId="7" fillId="0" borderId="0" xfId="0" applyFont="1" applyAlignment="1" applyProtection="1">
      <alignment vertical="top"/>
      <protection hidden="1"/>
    </xf>
    <xf numFmtId="0" fontId="3" fillId="0" borderId="0" xfId="0" applyFont="1" applyAlignment="1" applyProtection="1">
      <alignment vertical="top"/>
      <protection hidden="1"/>
    </xf>
    <xf numFmtId="0" fontId="50" fillId="0" borderId="0" xfId="0" applyFont="1" applyAlignment="1" applyProtection="1">
      <alignment vertical="top"/>
      <protection hidden="1"/>
    </xf>
    <xf numFmtId="0" fontId="24" fillId="0" borderId="13" xfId="53" applyFont="1" applyBorder="1" applyAlignment="1" applyProtection="1">
      <alignment vertical="center" wrapText="1"/>
      <protection hidden="1"/>
    </xf>
    <xf numFmtId="0" fontId="94" fillId="0" borderId="0" xfId="0" applyFont="1" applyProtection="1">
      <protection hidden="1"/>
    </xf>
    <xf numFmtId="0" fontId="47" fillId="0" borderId="62" xfId="0" applyFont="1" applyBorder="1" applyProtection="1">
      <protection hidden="1"/>
    </xf>
    <xf numFmtId="0" fontId="53" fillId="13" borderId="62" xfId="0" applyFont="1" applyFill="1" applyBorder="1" applyProtection="1">
      <protection hidden="1"/>
    </xf>
    <xf numFmtId="0" fontId="53" fillId="0" borderId="62" xfId="0" applyFont="1" applyBorder="1" applyProtection="1">
      <protection hidden="1"/>
    </xf>
    <xf numFmtId="0" fontId="47" fillId="13" borderId="62" xfId="0" applyFont="1" applyFill="1" applyBorder="1" applyProtection="1">
      <protection hidden="1"/>
    </xf>
    <xf numFmtId="0" fontId="46" fillId="0" borderId="63" xfId="0" applyFont="1" applyBorder="1" applyProtection="1">
      <protection hidden="1"/>
    </xf>
    <xf numFmtId="0" fontId="73" fillId="20" borderId="63" xfId="0" applyFont="1" applyFill="1" applyBorder="1" applyAlignment="1" applyProtection="1">
      <alignment vertical="center"/>
      <protection hidden="1"/>
    </xf>
    <xf numFmtId="0" fontId="46" fillId="20" borderId="0" xfId="0" applyFont="1" applyFill="1" applyProtection="1">
      <protection hidden="1"/>
    </xf>
    <xf numFmtId="0" fontId="46" fillId="20" borderId="63" xfId="0" applyFont="1" applyFill="1" applyBorder="1" applyProtection="1">
      <protection hidden="1"/>
    </xf>
    <xf numFmtId="0" fontId="104" fillId="20" borderId="0" xfId="0" applyFont="1" applyFill="1" applyProtection="1">
      <protection hidden="1"/>
    </xf>
    <xf numFmtId="0" fontId="105" fillId="0" borderId="0" xfId="0" applyFont="1" applyAlignment="1" applyProtection="1">
      <alignment vertical="center"/>
      <protection hidden="1"/>
    </xf>
    <xf numFmtId="0" fontId="104" fillId="0" borderId="0" xfId="0" applyFont="1" applyProtection="1">
      <protection hidden="1"/>
    </xf>
    <xf numFmtId="0" fontId="104" fillId="20" borderId="63" xfId="0" applyFont="1" applyFill="1" applyBorder="1" applyProtection="1">
      <protection hidden="1"/>
    </xf>
    <xf numFmtId="0" fontId="66" fillId="21" borderId="0" xfId="0" applyFont="1" applyFill="1" applyAlignment="1" applyProtection="1">
      <alignment vertical="center" wrapText="1"/>
      <protection hidden="1"/>
    </xf>
    <xf numFmtId="0" fontId="67" fillId="21" borderId="63" xfId="0" applyFont="1" applyFill="1" applyBorder="1" applyAlignment="1" applyProtection="1">
      <alignment vertical="center"/>
      <protection hidden="1"/>
    </xf>
    <xf numFmtId="0" fontId="46" fillId="19" borderId="0" xfId="0" applyFont="1" applyFill="1" applyProtection="1">
      <protection hidden="1"/>
    </xf>
    <xf numFmtId="0" fontId="22" fillId="19" borderId="0" xfId="0" applyFont="1" applyFill="1" applyAlignment="1" applyProtection="1">
      <alignment vertical="center"/>
      <protection hidden="1"/>
    </xf>
    <xf numFmtId="0" fontId="67" fillId="11" borderId="0" xfId="0" applyFont="1" applyFill="1" applyAlignment="1" applyProtection="1">
      <alignment vertical="center"/>
      <protection hidden="1"/>
    </xf>
    <xf numFmtId="0" fontId="104" fillId="20" borderId="0" xfId="52" applyFont="1" applyFill="1" applyProtection="1">
      <protection hidden="1"/>
    </xf>
    <xf numFmtId="0" fontId="72" fillId="20" borderId="0" xfId="0" applyFont="1" applyFill="1" applyAlignment="1" applyProtection="1">
      <alignment vertical="center" wrapText="1"/>
      <protection hidden="1"/>
    </xf>
    <xf numFmtId="0" fontId="75" fillId="21" borderId="63" xfId="0" applyFont="1" applyFill="1" applyBorder="1" applyAlignment="1" applyProtection="1">
      <alignment vertical="center"/>
      <protection hidden="1"/>
    </xf>
    <xf numFmtId="0" fontId="47" fillId="0" borderId="64" xfId="0" applyFont="1" applyBorder="1" applyProtection="1">
      <protection hidden="1"/>
    </xf>
    <xf numFmtId="0" fontId="47" fillId="0" borderId="12" xfId="0" applyFont="1" applyBorder="1" applyAlignment="1" applyProtection="1">
      <alignment horizontal="center"/>
      <protection hidden="1"/>
    </xf>
    <xf numFmtId="0" fontId="48" fillId="0" borderId="16" xfId="0" applyFont="1" applyBorder="1" applyProtection="1">
      <protection hidden="1"/>
    </xf>
    <xf numFmtId="0" fontId="48" fillId="0" borderId="15" xfId="0" applyFont="1" applyBorder="1" applyAlignment="1" applyProtection="1">
      <alignment horizontal="center"/>
      <protection hidden="1"/>
    </xf>
    <xf numFmtId="0" fontId="48" fillId="0" borderId="14" xfId="0" applyFont="1" applyBorder="1" applyAlignment="1" applyProtection="1">
      <alignment horizontal="center"/>
      <protection hidden="1"/>
    </xf>
    <xf numFmtId="178" fontId="47" fillId="0" borderId="4" xfId="0" applyNumberFormat="1" applyFont="1" applyBorder="1" applyAlignment="1" applyProtection="1">
      <alignment horizontal="center"/>
      <protection hidden="1"/>
    </xf>
    <xf numFmtId="178" fontId="47" fillId="0" borderId="5" xfId="0" applyNumberFormat="1" applyFont="1" applyBorder="1" applyAlignment="1" applyProtection="1">
      <alignment horizontal="center"/>
      <protection hidden="1"/>
    </xf>
    <xf numFmtId="167" fontId="41" fillId="0" borderId="2" xfId="4" applyNumberFormat="1" applyFont="1" applyBorder="1" applyAlignment="1">
      <alignment vertical="center"/>
    </xf>
    <xf numFmtId="0" fontId="50" fillId="19" borderId="2" xfId="0" applyFont="1" applyFill="1" applyBorder="1"/>
    <xf numFmtId="0" fontId="94" fillId="19" borderId="0" xfId="0" applyFont="1" applyFill="1" applyProtection="1">
      <protection hidden="1"/>
    </xf>
    <xf numFmtId="0" fontId="7" fillId="0" borderId="0" xfId="52" applyFont="1" applyAlignment="1" applyProtection="1">
      <alignment horizontal="center" vertical="center"/>
      <protection hidden="1"/>
    </xf>
    <xf numFmtId="0" fontId="4" fillId="0" borderId="0" xfId="52" applyFont="1" applyAlignment="1" applyProtection="1">
      <alignment horizontal="center" vertical="center" wrapText="1"/>
      <protection hidden="1"/>
    </xf>
    <xf numFmtId="5" fontId="94" fillId="0" borderId="0" xfId="30" applyNumberFormat="1" applyFont="1" applyBorder="1" applyAlignment="1" applyProtection="1">
      <alignment horizontal="center" vertical="center"/>
      <protection hidden="1"/>
    </xf>
    <xf numFmtId="0" fontId="13" fillId="0" borderId="0" xfId="52" applyFont="1" applyAlignment="1" applyProtection="1">
      <alignment vertical="top"/>
      <protection hidden="1"/>
    </xf>
    <xf numFmtId="0" fontId="108" fillId="0" borderId="0" xfId="52" applyFont="1" applyAlignment="1" applyProtection="1">
      <alignment horizontal="right" vertical="center" wrapText="1"/>
      <protection hidden="1"/>
    </xf>
    <xf numFmtId="0" fontId="13" fillId="0" borderId="10" xfId="52" applyFont="1" applyBorder="1" applyAlignment="1" applyProtection="1">
      <alignment horizontal="center" vertical="center" wrapText="1"/>
      <protection hidden="1"/>
    </xf>
    <xf numFmtId="0" fontId="47" fillId="0" borderId="0" xfId="0" quotePrefix="1" applyFont="1" applyProtection="1">
      <protection hidden="1"/>
    </xf>
    <xf numFmtId="6" fontId="7" fillId="0" borderId="0" xfId="52" applyNumberFormat="1" applyFont="1" applyAlignment="1" applyProtection="1">
      <alignment horizontal="center" vertical="center"/>
      <protection hidden="1"/>
    </xf>
    <xf numFmtId="0" fontId="47" fillId="0" borderId="64" xfId="0" applyFont="1" applyBorder="1"/>
    <xf numFmtId="177" fontId="46" fillId="0" borderId="2" xfId="0" applyNumberFormat="1" applyFont="1" applyBorder="1" applyAlignment="1" applyProtection="1">
      <alignment horizontal="center"/>
      <protection hidden="1"/>
    </xf>
    <xf numFmtId="6" fontId="7" fillId="0" borderId="3" xfId="52" applyNumberFormat="1" applyFont="1" applyBorder="1" applyAlignment="1" applyProtection="1">
      <alignment horizontal="center" vertical="center"/>
      <protection hidden="1"/>
    </xf>
    <xf numFmtId="0" fontId="7" fillId="0" borderId="5" xfId="52" applyFont="1" applyBorder="1" applyAlignment="1" applyProtection="1">
      <alignment horizontal="center" vertical="center"/>
      <protection hidden="1"/>
    </xf>
    <xf numFmtId="0" fontId="47" fillId="0" borderId="62" xfId="0" applyFont="1" applyBorder="1" applyAlignment="1" applyProtection="1">
      <alignment horizontal="center"/>
      <protection hidden="1"/>
    </xf>
    <xf numFmtId="166" fontId="47" fillId="0" borderId="11" xfId="0" applyNumberFormat="1" applyFont="1" applyBorder="1" applyAlignment="1" applyProtection="1">
      <alignment horizontal="center"/>
      <protection hidden="1"/>
    </xf>
    <xf numFmtId="0" fontId="46" fillId="0" borderId="2" xfId="0" applyFont="1" applyBorder="1" applyProtection="1">
      <protection hidden="1"/>
    </xf>
    <xf numFmtId="0" fontId="46" fillId="0" borderId="65" xfId="0" applyFont="1" applyBorder="1" applyProtection="1">
      <protection hidden="1"/>
    </xf>
    <xf numFmtId="0" fontId="46" fillId="0" borderId="0" xfId="0" quotePrefix="1" applyFont="1" applyAlignment="1" applyProtection="1">
      <alignment horizontal="left" vertical="top"/>
      <protection hidden="1"/>
    </xf>
    <xf numFmtId="0" fontId="4" fillId="0" borderId="2" xfId="52" quotePrefix="1" applyFont="1" applyBorder="1" applyAlignment="1" applyProtection="1">
      <alignment vertical="center" wrapText="1"/>
      <protection hidden="1"/>
    </xf>
    <xf numFmtId="1" fontId="97" fillId="0" borderId="62" xfId="52" applyNumberFormat="1" applyFont="1" applyBorder="1" applyAlignment="1" applyProtection="1">
      <alignment horizontal="center" vertical="center" wrapText="1"/>
      <protection hidden="1"/>
    </xf>
    <xf numFmtId="0" fontId="19" fillId="0" borderId="16" xfId="52" applyFont="1" applyBorder="1" applyAlignment="1" applyProtection="1">
      <alignment horizontal="left"/>
      <protection hidden="1"/>
    </xf>
    <xf numFmtId="0" fontId="19" fillId="0" borderId="7" xfId="52" applyFont="1" applyBorder="1" applyAlignment="1" applyProtection="1">
      <alignment horizontal="left"/>
      <protection hidden="1"/>
    </xf>
    <xf numFmtId="0" fontId="51" fillId="0" borderId="7" xfId="0" applyFont="1" applyBorder="1" applyAlignment="1" applyProtection="1">
      <alignment horizontal="left"/>
      <protection hidden="1"/>
    </xf>
    <xf numFmtId="0" fontId="51" fillId="0" borderId="17" xfId="0" applyFont="1" applyBorder="1" applyAlignment="1" applyProtection="1">
      <alignment horizontal="left"/>
      <protection hidden="1"/>
    </xf>
    <xf numFmtId="4" fontId="19" fillId="0" borderId="2" xfId="4" applyNumberFormat="1" applyFont="1" applyBorder="1" applyAlignment="1" applyProtection="1">
      <alignment vertical="center"/>
      <protection hidden="1"/>
    </xf>
    <xf numFmtId="3" fontId="19" fillId="0" borderId="2" xfId="4" applyNumberFormat="1" applyFont="1" applyBorder="1" applyAlignment="1" applyProtection="1">
      <alignment vertical="center" wrapText="1"/>
      <protection hidden="1"/>
    </xf>
    <xf numFmtId="179" fontId="19" fillId="0" borderId="2" xfId="4" applyNumberFormat="1" applyFont="1" applyBorder="1" applyAlignment="1" applyProtection="1">
      <alignment vertical="center" wrapText="1"/>
      <protection hidden="1"/>
    </xf>
    <xf numFmtId="169" fontId="51" fillId="0" borderId="2" xfId="0" applyNumberFormat="1" applyFont="1" applyBorder="1" applyProtection="1">
      <protection hidden="1"/>
    </xf>
    <xf numFmtId="0" fontId="47" fillId="0" borderId="2" xfId="0" applyFont="1" applyBorder="1" applyAlignment="1" applyProtection="1">
      <alignment horizontal="left"/>
      <protection hidden="1"/>
    </xf>
    <xf numFmtId="9" fontId="47" fillId="0" borderId="2" xfId="0" applyNumberFormat="1" applyFont="1" applyBorder="1" applyAlignment="1" applyProtection="1">
      <alignment horizontal="left"/>
      <protection hidden="1"/>
    </xf>
    <xf numFmtId="0" fontId="47" fillId="0" borderId="2" xfId="0" applyFont="1" applyBorder="1" applyAlignment="1" applyProtection="1">
      <alignment horizontal="left" vertical="top"/>
      <protection hidden="1"/>
    </xf>
    <xf numFmtId="0" fontId="59" fillId="3" borderId="7" xfId="0" applyFont="1" applyFill="1" applyBorder="1" applyAlignment="1" applyProtection="1">
      <alignment horizontal="left" vertical="top" wrapText="1"/>
      <protection hidden="1"/>
    </xf>
    <xf numFmtId="1" fontId="47" fillId="0" borderId="2" xfId="0" applyNumberFormat="1" applyFont="1" applyBorder="1" applyAlignment="1" applyProtection="1">
      <alignment horizontal="center"/>
      <protection hidden="1"/>
    </xf>
    <xf numFmtId="0" fontId="59" fillId="3" borderId="0" xfId="0" applyFont="1" applyFill="1" applyAlignment="1" applyProtection="1">
      <alignment horizontal="center" wrapText="1"/>
      <protection hidden="1"/>
    </xf>
    <xf numFmtId="166" fontId="47" fillId="0" borderId="3" xfId="3" applyNumberFormat="1" applyFont="1" applyBorder="1" applyAlignment="1" applyProtection="1">
      <alignment horizontal="left" vertical="center" wrapText="1"/>
      <protection hidden="1"/>
    </xf>
    <xf numFmtId="3" fontId="47" fillId="0" borderId="2" xfId="0" applyNumberFormat="1" applyFont="1" applyBorder="1" applyAlignment="1" applyProtection="1">
      <alignment horizontal="left" vertical="top"/>
      <protection hidden="1"/>
    </xf>
    <xf numFmtId="0" fontId="58" fillId="3" borderId="2" xfId="0" applyFont="1" applyFill="1" applyBorder="1" applyAlignment="1" applyProtection="1">
      <alignment wrapText="1"/>
      <protection hidden="1"/>
    </xf>
    <xf numFmtId="0" fontId="59" fillId="3" borderId="2" xfId="0" applyFont="1" applyFill="1" applyBorder="1" applyAlignment="1" applyProtection="1">
      <alignment horizontal="center" vertical="center" wrapText="1"/>
      <protection hidden="1"/>
    </xf>
    <xf numFmtId="0" fontId="58" fillId="3" borderId="2" xfId="0" applyFont="1" applyFill="1" applyBorder="1" applyAlignment="1" applyProtection="1">
      <alignment horizontal="center" vertical="center" wrapText="1"/>
      <protection hidden="1"/>
    </xf>
    <xf numFmtId="2" fontId="47" fillId="0" borderId="2" xfId="0" applyNumberFormat="1" applyFont="1" applyBorder="1" applyAlignment="1" applyProtection="1">
      <alignment horizontal="left"/>
      <protection hidden="1"/>
    </xf>
    <xf numFmtId="0" fontId="47" fillId="0" borderId="2" xfId="0" applyFont="1" applyBorder="1" applyAlignment="1" applyProtection="1">
      <alignment horizontal="center" vertical="center"/>
      <protection hidden="1"/>
    </xf>
    <xf numFmtId="6" fontId="47" fillId="0" borderId="2" xfId="0" applyNumberFormat="1" applyFont="1" applyBorder="1" applyProtection="1">
      <protection hidden="1"/>
    </xf>
    <xf numFmtId="2" fontId="47" fillId="0" borderId="2" xfId="0" applyNumberFormat="1" applyFont="1" applyBorder="1" applyProtection="1">
      <protection hidden="1"/>
    </xf>
    <xf numFmtId="0" fontId="59" fillId="3" borderId="2" xfId="0" applyFont="1" applyFill="1" applyBorder="1" applyAlignment="1" applyProtection="1">
      <alignment horizontal="center"/>
      <protection hidden="1"/>
    </xf>
    <xf numFmtId="0" fontId="59" fillId="3" borderId="2" xfId="0" applyFont="1" applyFill="1" applyBorder="1" applyAlignment="1" applyProtection="1">
      <alignment horizontal="center" wrapText="1"/>
      <protection hidden="1"/>
    </xf>
    <xf numFmtId="0" fontId="58" fillId="3" borderId="2" xfId="0" applyFont="1" applyFill="1" applyBorder="1" applyAlignment="1" applyProtection="1">
      <alignment horizontal="center"/>
      <protection hidden="1"/>
    </xf>
    <xf numFmtId="43" fontId="47" fillId="0" borderId="2" xfId="0" applyNumberFormat="1" applyFont="1" applyBorder="1" applyProtection="1">
      <protection hidden="1"/>
    </xf>
    <xf numFmtId="0" fontId="47" fillId="0" borderId="2" xfId="0" applyFont="1" applyBorder="1" applyAlignment="1" applyProtection="1">
      <alignment horizontal="center"/>
      <protection hidden="1"/>
    </xf>
    <xf numFmtId="0" fontId="4" fillId="0" borderId="2" xfId="52" applyFont="1" applyBorder="1" applyAlignment="1" applyProtection="1">
      <alignment horizontal="left" vertical="top" wrapText="1"/>
      <protection hidden="1"/>
    </xf>
    <xf numFmtId="0" fontId="7" fillId="0" borderId="10" xfId="52" applyFont="1" applyBorder="1" applyAlignment="1" applyProtection="1">
      <alignment vertical="center"/>
      <protection hidden="1"/>
    </xf>
    <xf numFmtId="0" fontId="3" fillId="3" borderId="2" xfId="52" applyFont="1" applyFill="1" applyBorder="1" applyAlignment="1">
      <alignment horizontal="right"/>
    </xf>
    <xf numFmtId="9" fontId="3" fillId="3" borderId="2" xfId="52" applyNumberFormat="1" applyFont="1" applyFill="1" applyBorder="1" applyAlignment="1">
      <alignment horizontal="right"/>
    </xf>
    <xf numFmtId="0" fontId="3" fillId="0" borderId="0" xfId="52" applyFont="1" applyAlignment="1">
      <alignment horizontal="right"/>
    </xf>
    <xf numFmtId="0" fontId="46" fillId="3" borderId="2" xfId="0" applyFont="1" applyFill="1" applyBorder="1"/>
    <xf numFmtId="9" fontId="46" fillId="3" borderId="2" xfId="0" applyNumberFormat="1" applyFont="1" applyFill="1" applyBorder="1"/>
    <xf numFmtId="0" fontId="94" fillId="19" borderId="0" xfId="0" applyFont="1" applyFill="1"/>
    <xf numFmtId="0" fontId="46" fillId="0" borderId="0" xfId="0" applyFont="1" applyAlignment="1">
      <alignment horizontal="right"/>
    </xf>
    <xf numFmtId="166" fontId="47" fillId="3" borderId="3" xfId="3" applyNumberFormat="1" applyFont="1" applyFill="1" applyBorder="1" applyAlignment="1" applyProtection="1">
      <alignment horizontal="center"/>
      <protection hidden="1"/>
    </xf>
    <xf numFmtId="166" fontId="47" fillId="3" borderId="3" xfId="3" applyNumberFormat="1" applyFont="1" applyFill="1" applyBorder="1" applyAlignment="1" applyProtection="1">
      <alignment horizontal="left" vertical="center" wrapText="1"/>
      <protection hidden="1"/>
    </xf>
    <xf numFmtId="166" fontId="47" fillId="3" borderId="2" xfId="3" applyNumberFormat="1" applyFont="1" applyFill="1" applyBorder="1" applyAlignment="1" applyProtection="1">
      <alignment horizontal="center"/>
      <protection hidden="1"/>
    </xf>
    <xf numFmtId="1" fontId="47" fillId="3" borderId="2" xfId="0" applyNumberFormat="1" applyFont="1" applyFill="1" applyBorder="1" applyAlignment="1" applyProtection="1">
      <alignment horizontal="center"/>
      <protection hidden="1"/>
    </xf>
    <xf numFmtId="0" fontId="47" fillId="3" borderId="2" xfId="0" applyFont="1" applyFill="1" applyBorder="1" applyProtection="1">
      <protection hidden="1"/>
    </xf>
    <xf numFmtId="2" fontId="47" fillId="3" borderId="2" xfId="0" applyNumberFormat="1" applyFont="1" applyFill="1" applyBorder="1" applyProtection="1">
      <protection hidden="1"/>
    </xf>
    <xf numFmtId="43" fontId="47" fillId="3" borderId="2" xfId="3" applyFont="1" applyFill="1" applyBorder="1" applyProtection="1">
      <protection hidden="1"/>
    </xf>
    <xf numFmtId="43" fontId="47" fillId="3" borderId="2" xfId="0" applyNumberFormat="1" applyFont="1" applyFill="1" applyBorder="1" applyProtection="1">
      <protection hidden="1"/>
    </xf>
    <xf numFmtId="0" fontId="47" fillId="19" borderId="2" xfId="0" applyFont="1" applyFill="1" applyBorder="1" applyProtection="1">
      <protection hidden="1"/>
    </xf>
    <xf numFmtId="43" fontId="47" fillId="19" borderId="2" xfId="0" applyNumberFormat="1" applyFont="1" applyFill="1" applyBorder="1" applyProtection="1">
      <protection hidden="1"/>
    </xf>
    <xf numFmtId="43" fontId="47" fillId="0" borderId="0" xfId="0" applyNumberFormat="1" applyFont="1" applyProtection="1">
      <protection hidden="1"/>
    </xf>
    <xf numFmtId="43" fontId="47" fillId="19" borderId="2" xfId="3" applyFont="1" applyFill="1" applyBorder="1" applyProtection="1">
      <protection hidden="1"/>
    </xf>
    <xf numFmtId="0" fontId="50" fillId="13" borderId="0" xfId="0" applyFont="1" applyFill="1"/>
    <xf numFmtId="0" fontId="50" fillId="13" borderId="0" xfId="0" applyFont="1" applyFill="1" applyAlignment="1">
      <alignment horizontal="left"/>
    </xf>
    <xf numFmtId="49" fontId="50" fillId="13" borderId="0" xfId="0" applyNumberFormat="1" applyFont="1" applyFill="1" applyAlignment="1">
      <alignment horizontal="left"/>
    </xf>
    <xf numFmtId="14" fontId="50" fillId="0" borderId="0" xfId="0" applyNumberFormat="1" applyFont="1"/>
    <xf numFmtId="0" fontId="50" fillId="19" borderId="2" xfId="0" applyFont="1" applyFill="1" applyBorder="1" applyProtection="1">
      <protection locked="0"/>
    </xf>
    <xf numFmtId="0" fontId="50" fillId="19" borderId="2" xfId="0" applyFont="1" applyFill="1" applyBorder="1" applyProtection="1">
      <protection hidden="1"/>
    </xf>
    <xf numFmtId="169" fontId="4" fillId="3" borderId="2" xfId="0" applyNumberFormat="1" applyFont="1" applyFill="1" applyBorder="1"/>
    <xf numFmtId="169" fontId="4" fillId="19" borderId="2" xfId="0" applyNumberFormat="1" applyFont="1" applyFill="1" applyBorder="1" applyProtection="1">
      <protection hidden="1"/>
    </xf>
    <xf numFmtId="169" fontId="94" fillId="19" borderId="0" xfId="0" applyNumberFormat="1" applyFont="1" applyFill="1" applyProtection="1">
      <protection hidden="1"/>
    </xf>
    <xf numFmtId="169" fontId="46" fillId="3" borderId="2" xfId="0" applyNumberFormat="1" applyFont="1" applyFill="1" applyBorder="1"/>
    <xf numFmtId="169" fontId="46" fillId="0" borderId="2" xfId="0" applyNumberFormat="1" applyFont="1" applyBorder="1" applyProtection="1">
      <protection hidden="1"/>
    </xf>
    <xf numFmtId="169" fontId="46" fillId="19" borderId="2" xfId="0" applyNumberFormat="1" applyFont="1" applyFill="1" applyBorder="1"/>
    <xf numFmtId="0" fontId="3" fillId="19" borderId="0" xfId="0" applyFont="1" applyFill="1" applyAlignment="1" applyProtection="1">
      <alignment horizontal="left"/>
      <protection locked="0"/>
    </xf>
    <xf numFmtId="0" fontId="90" fillId="19" borderId="0" xfId="0" applyFont="1" applyFill="1" applyProtection="1">
      <protection locked="0"/>
    </xf>
    <xf numFmtId="0" fontId="3" fillId="19" borderId="0" xfId="0" applyFont="1" applyFill="1" applyAlignment="1">
      <alignment horizontal="left"/>
    </xf>
    <xf numFmtId="0" fontId="90" fillId="19" borderId="0" xfId="0" applyFont="1" applyFill="1"/>
    <xf numFmtId="0" fontId="50" fillId="0" borderId="64" xfId="0" applyFont="1" applyBorder="1" applyProtection="1">
      <protection hidden="1"/>
    </xf>
    <xf numFmtId="0" fontId="50" fillId="0" borderId="16" xfId="0" applyFont="1" applyBorder="1" applyProtection="1">
      <protection hidden="1"/>
    </xf>
    <xf numFmtId="0" fontId="50" fillId="0" borderId="15" xfId="0" applyFont="1" applyBorder="1" applyProtection="1">
      <protection hidden="1"/>
    </xf>
    <xf numFmtId="0" fontId="46" fillId="0" borderId="14" xfId="0" applyFont="1" applyBorder="1" applyProtection="1">
      <protection hidden="1"/>
    </xf>
    <xf numFmtId="0" fontId="51" fillId="0" borderId="17" xfId="0" applyFont="1" applyBorder="1" applyAlignment="1" applyProtection="1">
      <alignment vertical="center"/>
      <protection hidden="1"/>
    </xf>
    <xf numFmtId="0" fontId="50" fillId="19" borderId="0" xfId="0" applyFont="1" applyFill="1" applyAlignment="1" applyProtection="1">
      <alignment horizontal="left"/>
      <protection locked="0"/>
    </xf>
    <xf numFmtId="0" fontId="0" fillId="19" borderId="0" xfId="0" applyFill="1" applyProtection="1">
      <protection locked="0"/>
    </xf>
    <xf numFmtId="0" fontId="3" fillId="10" borderId="2" xfId="52" applyFont="1" applyFill="1" applyBorder="1" applyAlignment="1" applyProtection="1">
      <alignment horizontal="right"/>
      <protection locked="0"/>
    </xf>
    <xf numFmtId="9" fontId="3" fillId="10" borderId="2" xfId="52" applyNumberFormat="1" applyFont="1" applyFill="1" applyBorder="1" applyAlignment="1" applyProtection="1">
      <alignment horizontal="right"/>
      <protection locked="0"/>
    </xf>
    <xf numFmtId="169" fontId="46" fillId="10" borderId="2" xfId="0" applyNumberFormat="1" applyFont="1" applyFill="1" applyBorder="1" applyProtection="1">
      <protection locked="0"/>
    </xf>
    <xf numFmtId="0" fontId="46" fillId="10" borderId="2" xfId="0" applyFont="1" applyFill="1" applyBorder="1" applyAlignment="1" applyProtection="1">
      <alignment horizontal="right"/>
      <protection locked="0"/>
    </xf>
    <xf numFmtId="0" fontId="46" fillId="10" borderId="2" xfId="0" applyFont="1" applyFill="1" applyBorder="1" applyProtection="1">
      <protection locked="0"/>
    </xf>
    <xf numFmtId="9" fontId="46" fillId="10" borderId="2" xfId="0" applyNumberFormat="1" applyFont="1" applyFill="1" applyBorder="1" applyProtection="1">
      <protection locked="0"/>
    </xf>
    <xf numFmtId="180" fontId="3" fillId="3" borderId="2" xfId="3" applyNumberFormat="1" applyFont="1" applyFill="1" applyBorder="1" applyAlignment="1" applyProtection="1">
      <alignment horizontal="right"/>
    </xf>
    <xf numFmtId="43" fontId="46" fillId="0" borderId="2" xfId="3" applyFont="1" applyBorder="1" applyAlignment="1" applyProtection="1">
      <alignment horizontal="center"/>
      <protection hidden="1"/>
    </xf>
    <xf numFmtId="0" fontId="58" fillId="22" borderId="2" xfId="0" applyFont="1" applyFill="1" applyBorder="1" applyProtection="1">
      <protection hidden="1"/>
    </xf>
    <xf numFmtId="0" fontId="58" fillId="22" borderId="2" xfId="0" applyFont="1" applyFill="1" applyBorder="1" applyAlignment="1" applyProtection="1">
      <alignment wrapText="1"/>
      <protection hidden="1"/>
    </xf>
    <xf numFmtId="0" fontId="47" fillId="22" borderId="2" xfId="0" applyFont="1" applyFill="1" applyBorder="1" applyProtection="1">
      <protection hidden="1"/>
    </xf>
    <xf numFmtId="180" fontId="3" fillId="10" borderId="2" xfId="3" applyNumberFormat="1" applyFont="1" applyFill="1" applyBorder="1" applyAlignment="1" applyProtection="1">
      <alignment horizontal="right"/>
      <protection locked="0"/>
    </xf>
    <xf numFmtId="0" fontId="47" fillId="0" borderId="0" xfId="0" applyFont="1" applyAlignment="1" applyProtection="1">
      <alignment horizontal="center" vertical="top"/>
      <protection hidden="1"/>
    </xf>
    <xf numFmtId="0" fontId="50" fillId="13" borderId="0" xfId="0" applyFont="1" applyFill="1" applyProtection="1">
      <protection hidden="1"/>
    </xf>
    <xf numFmtId="0" fontId="4" fillId="13" borderId="2" xfId="52" applyFont="1" applyFill="1" applyBorder="1" applyAlignment="1" applyProtection="1">
      <alignment horizontal="center" vertical="center" wrapText="1"/>
      <protection hidden="1"/>
    </xf>
    <xf numFmtId="0" fontId="46" fillId="19" borderId="0" xfId="0" applyFont="1" applyFill="1" applyAlignment="1" applyProtection="1">
      <alignment horizontal="left" vertical="center"/>
      <protection hidden="1"/>
    </xf>
    <xf numFmtId="0" fontId="108" fillId="19" borderId="0" xfId="52" applyFont="1" applyFill="1" applyAlignment="1" applyProtection="1">
      <alignment horizontal="right" vertical="center" wrapText="1"/>
      <protection hidden="1"/>
    </xf>
    <xf numFmtId="0" fontId="15" fillId="19" borderId="0" xfId="52" applyFont="1" applyFill="1" applyAlignment="1" applyProtection="1">
      <alignment horizontal="left" vertical="center"/>
      <protection hidden="1"/>
    </xf>
    <xf numFmtId="0" fontId="56" fillId="19" borderId="0" xfId="52" applyFont="1" applyFill="1" applyAlignment="1" applyProtection="1">
      <alignment horizontal="left" vertical="center" wrapText="1"/>
      <protection hidden="1"/>
    </xf>
    <xf numFmtId="0" fontId="7" fillId="10" borderId="2" xfId="0" applyFont="1" applyFill="1" applyBorder="1"/>
    <xf numFmtId="166" fontId="47" fillId="13" borderId="4" xfId="0" applyNumberFormat="1" applyFont="1" applyFill="1" applyBorder="1" applyAlignment="1" applyProtection="1">
      <alignment horizontal="center"/>
      <protection hidden="1"/>
    </xf>
    <xf numFmtId="2" fontId="47" fillId="13" borderId="3" xfId="0" applyNumberFormat="1" applyFont="1" applyFill="1" applyBorder="1" applyAlignment="1" applyProtection="1">
      <alignment horizontal="center"/>
      <protection hidden="1"/>
    </xf>
    <xf numFmtId="167" fontId="47" fillId="13" borderId="4" xfId="0" applyNumberFormat="1" applyFont="1" applyFill="1" applyBorder="1" applyAlignment="1" applyProtection="1">
      <alignment horizontal="center"/>
      <protection hidden="1"/>
    </xf>
    <xf numFmtId="0" fontId="47" fillId="13" borderId="4" xfId="0" applyFont="1" applyFill="1" applyBorder="1" applyAlignment="1" applyProtection="1">
      <alignment horizontal="center"/>
      <protection hidden="1"/>
    </xf>
    <xf numFmtId="9" fontId="47" fillId="13" borderId="3" xfId="0" applyNumberFormat="1" applyFont="1" applyFill="1" applyBorder="1" applyProtection="1">
      <protection hidden="1"/>
    </xf>
    <xf numFmtId="0" fontId="53" fillId="13" borderId="6" xfId="0" applyFont="1" applyFill="1" applyBorder="1" applyProtection="1">
      <protection hidden="1"/>
    </xf>
    <xf numFmtId="0" fontId="7" fillId="13" borderId="62" xfId="0" applyFont="1" applyFill="1" applyBorder="1" applyProtection="1">
      <protection hidden="1"/>
    </xf>
    <xf numFmtId="0" fontId="47" fillId="13" borderId="3" xfId="0" applyFont="1" applyFill="1" applyBorder="1" applyProtection="1">
      <protection hidden="1"/>
    </xf>
    <xf numFmtId="0" fontId="7" fillId="0" borderId="11" xfId="52" applyFont="1" applyBorder="1" applyAlignment="1" applyProtection="1">
      <alignment vertical="center"/>
      <protection hidden="1"/>
    </xf>
    <xf numFmtId="0" fontId="13" fillId="0" borderId="11" xfId="52" applyFont="1" applyBorder="1" applyAlignment="1" applyProtection="1">
      <alignment horizontal="left" vertical="center"/>
      <protection hidden="1"/>
    </xf>
    <xf numFmtId="0" fontId="55" fillId="19" borderId="64" xfId="52" applyFont="1" applyFill="1" applyBorder="1" applyAlignment="1" applyProtection="1">
      <alignment vertical="center" wrapText="1"/>
      <protection hidden="1"/>
    </xf>
    <xf numFmtId="0" fontId="55" fillId="19" borderId="0" xfId="52" applyFont="1" applyFill="1" applyAlignment="1" applyProtection="1">
      <alignment vertical="center" wrapText="1"/>
      <protection hidden="1"/>
    </xf>
    <xf numFmtId="0" fontId="7" fillId="19" borderId="64" xfId="52" applyFont="1" applyFill="1" applyBorder="1" applyProtection="1">
      <protection hidden="1"/>
    </xf>
    <xf numFmtId="0" fontId="7" fillId="19" borderId="0" xfId="52" applyFont="1" applyFill="1" applyProtection="1">
      <protection hidden="1"/>
    </xf>
    <xf numFmtId="0" fontId="74" fillId="19" borderId="0" xfId="0" applyFont="1" applyFill="1" applyAlignment="1" applyProtection="1">
      <alignment horizontal="center"/>
      <protection locked="0"/>
    </xf>
    <xf numFmtId="0" fontId="48" fillId="19" borderId="66" xfId="0" applyFont="1" applyFill="1" applyBorder="1" applyAlignment="1" applyProtection="1">
      <alignment vertical="center"/>
      <protection hidden="1"/>
    </xf>
    <xf numFmtId="2" fontId="47" fillId="13" borderId="4" xfId="0" applyNumberFormat="1" applyFont="1" applyFill="1" applyBorder="1" applyAlignment="1" applyProtection="1">
      <alignment horizontal="center"/>
      <protection hidden="1"/>
    </xf>
    <xf numFmtId="0" fontId="47" fillId="13" borderId="11" xfId="0" applyFont="1" applyFill="1" applyBorder="1" applyProtection="1">
      <protection hidden="1"/>
    </xf>
    <xf numFmtId="0" fontId="47" fillId="13" borderId="10" xfId="0" applyFont="1" applyFill="1" applyBorder="1" applyProtection="1">
      <protection hidden="1"/>
    </xf>
    <xf numFmtId="0" fontId="51" fillId="13" borderId="0" xfId="0" applyFont="1" applyFill="1" applyAlignment="1">
      <alignment horizontal="left" wrapText="1"/>
    </xf>
    <xf numFmtId="14" fontId="50" fillId="0" borderId="0" xfId="0" applyNumberFormat="1" applyFont="1" applyAlignment="1">
      <alignment horizontal="left"/>
    </xf>
    <xf numFmtId="0" fontId="72" fillId="23" borderId="0" xfId="0" applyFont="1" applyFill="1" applyAlignment="1" applyProtection="1">
      <alignment vertical="center"/>
      <protection hidden="1"/>
    </xf>
    <xf numFmtId="0" fontId="46" fillId="23" borderId="0" xfId="0" applyFont="1" applyFill="1" applyProtection="1">
      <protection hidden="1"/>
    </xf>
    <xf numFmtId="0" fontId="73" fillId="23" borderId="63" xfId="0" applyFont="1" applyFill="1" applyBorder="1" applyAlignment="1" applyProtection="1">
      <alignment vertical="center"/>
      <protection hidden="1"/>
    </xf>
    <xf numFmtId="0" fontId="46" fillId="23" borderId="63" xfId="0" applyFont="1" applyFill="1" applyBorder="1" applyProtection="1">
      <protection hidden="1"/>
    </xf>
    <xf numFmtId="0" fontId="72" fillId="19" borderId="0" xfId="0" applyFont="1" applyFill="1" applyProtection="1">
      <protection hidden="1"/>
    </xf>
    <xf numFmtId="0" fontId="73" fillId="19" borderId="63" xfId="0" applyFont="1" applyFill="1" applyBorder="1" applyAlignment="1" applyProtection="1">
      <alignment vertical="center"/>
      <protection hidden="1"/>
    </xf>
    <xf numFmtId="0" fontId="73" fillId="19" borderId="63" xfId="0" applyFont="1" applyFill="1" applyBorder="1" applyAlignment="1" applyProtection="1">
      <alignment horizontal="center" vertical="center"/>
      <protection hidden="1"/>
    </xf>
    <xf numFmtId="0" fontId="46" fillId="19" borderId="63" xfId="0" applyFont="1" applyFill="1" applyBorder="1" applyProtection="1">
      <protection hidden="1"/>
    </xf>
    <xf numFmtId="0" fontId="120" fillId="0" borderId="0" xfId="0" applyFont="1" applyProtection="1">
      <protection hidden="1"/>
    </xf>
    <xf numFmtId="0" fontId="121" fillId="0" borderId="0" xfId="0" applyFont="1" applyAlignment="1" applyProtection="1">
      <alignment horizontal="left" vertical="top"/>
      <protection hidden="1"/>
    </xf>
    <xf numFmtId="0" fontId="122" fillId="0" borderId="0" xfId="0" applyFont="1" applyAlignment="1" applyProtection="1">
      <alignment horizontal="right" vertical="top"/>
      <protection hidden="1"/>
    </xf>
    <xf numFmtId="0" fontId="122" fillId="0" borderId="0" xfId="0" applyFont="1" applyAlignment="1" applyProtection="1">
      <alignment horizontal="left" vertical="top"/>
      <protection hidden="1"/>
    </xf>
    <xf numFmtId="0" fontId="104" fillId="23" borderId="0" xfId="0" applyFont="1" applyFill="1" applyProtection="1">
      <protection hidden="1"/>
    </xf>
    <xf numFmtId="0" fontId="104" fillId="23" borderId="63" xfId="0" applyFont="1" applyFill="1" applyBorder="1" applyProtection="1">
      <protection hidden="1"/>
    </xf>
    <xf numFmtId="0" fontId="72" fillId="19" borderId="0" xfId="0" applyFont="1" applyFill="1" applyAlignment="1" applyProtection="1">
      <alignment vertical="center"/>
      <protection hidden="1"/>
    </xf>
    <xf numFmtId="0" fontId="66" fillId="19" borderId="0" xfId="0" applyFont="1" applyFill="1" applyAlignment="1" applyProtection="1">
      <alignment vertical="center"/>
      <protection hidden="1"/>
    </xf>
    <xf numFmtId="0" fontId="75" fillId="19" borderId="63" xfId="0" applyFont="1" applyFill="1" applyBorder="1" applyAlignment="1" applyProtection="1">
      <alignment vertical="center"/>
      <protection hidden="1"/>
    </xf>
    <xf numFmtId="0" fontId="119" fillId="0" borderId="58" xfId="0" applyFont="1" applyBorder="1" applyAlignment="1" applyProtection="1">
      <alignment vertical="center"/>
      <protection hidden="1"/>
    </xf>
    <xf numFmtId="0" fontId="104" fillId="19" borderId="0" xfId="0" applyFont="1" applyFill="1" applyProtection="1">
      <protection hidden="1"/>
    </xf>
    <xf numFmtId="0" fontId="104" fillId="19" borderId="63" xfId="0" applyFont="1" applyFill="1" applyBorder="1" applyProtection="1">
      <protection hidden="1"/>
    </xf>
    <xf numFmtId="0" fontId="123" fillId="0" borderId="0" xfId="0" applyFont="1" applyAlignment="1" applyProtection="1">
      <alignment horizontal="left" vertical="center"/>
      <protection hidden="1"/>
    </xf>
    <xf numFmtId="0" fontId="55" fillId="19" borderId="11" xfId="52" applyFont="1" applyFill="1" applyBorder="1" applyAlignment="1" applyProtection="1">
      <alignment horizontal="center" vertical="center" wrapText="1"/>
      <protection hidden="1"/>
    </xf>
    <xf numFmtId="0" fontId="54" fillId="19" borderId="11" xfId="52" applyFont="1" applyFill="1" applyBorder="1" applyAlignment="1" applyProtection="1">
      <alignment horizontal="center" vertical="center" wrapText="1"/>
      <protection hidden="1"/>
    </xf>
    <xf numFmtId="0" fontId="4" fillId="23" borderId="0" xfId="52" applyFont="1" applyFill="1" applyProtection="1">
      <protection hidden="1"/>
    </xf>
    <xf numFmtId="0" fontId="72" fillId="23" borderId="0" xfId="0" applyFont="1" applyFill="1" applyAlignment="1" applyProtection="1">
      <alignment vertical="center" wrapText="1"/>
      <protection hidden="1"/>
    </xf>
    <xf numFmtId="0" fontId="59" fillId="23" borderId="2" xfId="0" applyFont="1" applyFill="1" applyBorder="1" applyAlignment="1" applyProtection="1">
      <alignment horizontal="center" wrapText="1"/>
      <protection hidden="1"/>
    </xf>
    <xf numFmtId="0" fontId="66" fillId="11" borderId="0" xfId="0" applyFont="1" applyFill="1" applyAlignment="1" applyProtection="1">
      <alignment vertical="center" wrapText="1"/>
      <protection hidden="1"/>
    </xf>
    <xf numFmtId="0" fontId="67" fillId="11" borderId="63" xfId="0" applyFont="1" applyFill="1" applyBorder="1" applyAlignment="1" applyProtection="1">
      <alignment vertical="center"/>
      <protection hidden="1"/>
    </xf>
    <xf numFmtId="0" fontId="23" fillId="19" borderId="0" xfId="0" applyFont="1" applyFill="1" applyAlignment="1" applyProtection="1">
      <alignment vertical="center" wrapText="1"/>
      <protection hidden="1"/>
    </xf>
    <xf numFmtId="0" fontId="22" fillId="19" borderId="63" xfId="0" applyFont="1" applyFill="1" applyBorder="1" applyAlignment="1" applyProtection="1">
      <alignment vertical="center"/>
      <protection hidden="1"/>
    </xf>
    <xf numFmtId="0" fontId="118" fillId="23" borderId="6" xfId="52" applyFont="1" applyFill="1" applyBorder="1" applyAlignment="1" applyProtection="1">
      <alignment horizontal="center" vertical="center"/>
      <protection hidden="1"/>
    </xf>
    <xf numFmtId="0" fontId="118" fillId="23" borderId="0" xfId="52" applyFont="1" applyFill="1" applyAlignment="1" applyProtection="1">
      <alignment horizontal="right"/>
      <protection hidden="1"/>
    </xf>
    <xf numFmtId="0" fontId="118" fillId="23" borderId="2" xfId="52" applyFont="1" applyFill="1" applyBorder="1" applyAlignment="1" applyProtection="1">
      <alignment horizontal="center" vertical="center" wrapText="1"/>
      <protection hidden="1"/>
    </xf>
    <xf numFmtId="0" fontId="96" fillId="23" borderId="2" xfId="0" applyFont="1" applyFill="1" applyBorder="1" applyAlignment="1" applyProtection="1">
      <alignment horizontal="center" vertical="center"/>
      <protection hidden="1"/>
    </xf>
    <xf numFmtId="0" fontId="96" fillId="23" borderId="2" xfId="0" applyFont="1" applyFill="1" applyBorder="1" applyAlignment="1" applyProtection="1">
      <alignment horizontal="center" vertical="center" wrapText="1"/>
      <protection hidden="1"/>
    </xf>
    <xf numFmtId="0" fontId="96" fillId="23" borderId="2" xfId="0" applyFont="1" applyFill="1" applyBorder="1" applyAlignment="1" applyProtection="1">
      <alignment horizontal="center"/>
      <protection hidden="1"/>
    </xf>
    <xf numFmtId="0" fontId="118" fillId="23" borderId="2" xfId="52" applyFont="1" applyFill="1" applyBorder="1" applyAlignment="1" applyProtection="1">
      <alignment horizontal="center" vertical="center"/>
      <protection hidden="1"/>
    </xf>
    <xf numFmtId="0" fontId="96" fillId="23" borderId="2" xfId="52" applyFont="1" applyFill="1" applyBorder="1" applyAlignment="1" applyProtection="1">
      <alignment horizontal="center" vertical="center"/>
      <protection hidden="1"/>
    </xf>
    <xf numFmtId="0" fontId="96" fillId="23" borderId="2" xfId="52" applyFont="1" applyFill="1" applyBorder="1" applyAlignment="1" applyProtection="1">
      <alignment horizontal="center" vertical="center" wrapText="1"/>
      <protection hidden="1"/>
    </xf>
    <xf numFmtId="0" fontId="96" fillId="23" borderId="2" xfId="52" applyFont="1" applyFill="1" applyBorder="1" applyAlignment="1" applyProtection="1">
      <alignment vertical="center"/>
      <protection hidden="1"/>
    </xf>
    <xf numFmtId="0" fontId="110" fillId="23" borderId="0" xfId="0" applyFont="1" applyFill="1" applyAlignment="1" applyProtection="1">
      <alignment vertical="center"/>
      <protection hidden="1"/>
    </xf>
    <xf numFmtId="0" fontId="111" fillId="23" borderId="0" xfId="0" applyFont="1" applyFill="1" applyAlignment="1" applyProtection="1">
      <alignment vertical="center"/>
      <protection hidden="1"/>
    </xf>
    <xf numFmtId="0" fontId="105" fillId="23" borderId="0" xfId="0" applyFont="1" applyFill="1" applyAlignment="1" applyProtection="1">
      <alignment vertical="center"/>
      <protection hidden="1"/>
    </xf>
    <xf numFmtId="0" fontId="106" fillId="23" borderId="0" xfId="0" applyFont="1" applyFill="1" applyAlignment="1" applyProtection="1">
      <alignment vertical="center"/>
      <protection hidden="1"/>
    </xf>
    <xf numFmtId="0" fontId="112" fillId="23" borderId="0" xfId="0" applyFont="1" applyFill="1" applyAlignment="1" applyProtection="1">
      <alignment vertical="center"/>
      <protection hidden="1"/>
    </xf>
    <xf numFmtId="0" fontId="105" fillId="19" borderId="0" xfId="0" applyFont="1" applyFill="1" applyAlignment="1" applyProtection="1">
      <alignment vertical="center"/>
      <protection hidden="1"/>
    </xf>
    <xf numFmtId="0" fontId="58" fillId="3" borderId="9" xfId="0" applyFont="1" applyFill="1" applyBorder="1" applyAlignment="1" applyProtection="1">
      <alignment horizontal="center" vertical="center"/>
      <protection hidden="1"/>
    </xf>
    <xf numFmtId="0" fontId="66" fillId="0" borderId="0" xfId="0" applyFont="1" applyAlignment="1" applyProtection="1">
      <alignment vertical="center" wrapText="1"/>
      <protection hidden="1"/>
    </xf>
    <xf numFmtId="0" fontId="75" fillId="0" borderId="63" xfId="0" applyFont="1" applyBorder="1" applyAlignment="1" applyProtection="1">
      <alignment vertical="center"/>
      <protection hidden="1"/>
    </xf>
    <xf numFmtId="0" fontId="72" fillId="0" borderId="0" xfId="0" applyFont="1" applyAlignment="1" applyProtection="1">
      <alignment vertical="center"/>
      <protection hidden="1"/>
    </xf>
    <xf numFmtId="0" fontId="73" fillId="0" borderId="63" xfId="0" applyFont="1" applyBorder="1" applyAlignment="1" applyProtection="1">
      <alignment vertical="center"/>
      <protection hidden="1"/>
    </xf>
    <xf numFmtId="0" fontId="72" fillId="0" borderId="0" xfId="0" applyFont="1" applyProtection="1">
      <protection hidden="1"/>
    </xf>
    <xf numFmtId="0" fontId="110" fillId="0" borderId="0" xfId="0" applyFont="1" applyAlignment="1" applyProtection="1">
      <alignment vertical="center"/>
      <protection hidden="1"/>
    </xf>
    <xf numFmtId="0" fontId="111" fillId="0" borderId="0" xfId="0" applyFont="1" applyAlignment="1" applyProtection="1">
      <alignment vertical="center"/>
      <protection hidden="1"/>
    </xf>
    <xf numFmtId="0" fontId="106" fillId="0" borderId="0" xfId="0" applyFont="1" applyAlignment="1" applyProtection="1">
      <alignment vertical="center"/>
      <protection hidden="1"/>
    </xf>
    <xf numFmtId="0" fontId="112" fillId="0" borderId="0" xfId="0" applyFont="1" applyAlignment="1" applyProtection="1">
      <alignment vertical="center"/>
      <protection hidden="1"/>
    </xf>
    <xf numFmtId="0" fontId="124" fillId="23" borderId="0" xfId="0" applyFont="1" applyFill="1" applyAlignment="1" applyProtection="1">
      <alignment vertical="center"/>
      <protection hidden="1"/>
    </xf>
    <xf numFmtId="0" fontId="72" fillId="0" borderId="0" xfId="0" applyFont="1" applyAlignment="1" applyProtection="1">
      <alignment vertical="center" wrapText="1"/>
      <protection hidden="1"/>
    </xf>
    <xf numFmtId="0" fontId="23" fillId="0" borderId="0" xfId="0" applyFont="1" applyAlignment="1" applyProtection="1">
      <alignment vertical="center" wrapText="1"/>
      <protection hidden="1"/>
    </xf>
    <xf numFmtId="0" fontId="22" fillId="0" borderId="63" xfId="0" applyFont="1" applyBorder="1" applyAlignment="1" applyProtection="1">
      <alignment vertical="center"/>
      <protection hidden="1"/>
    </xf>
    <xf numFmtId="0" fontId="67" fillId="0" borderId="63" xfId="0" applyFont="1" applyBorder="1" applyAlignment="1" applyProtection="1">
      <alignment vertical="center"/>
      <protection hidden="1"/>
    </xf>
    <xf numFmtId="0" fontId="47" fillId="24" borderId="20" xfId="0" applyFont="1" applyFill="1" applyBorder="1" applyProtection="1">
      <protection hidden="1"/>
    </xf>
    <xf numFmtId="0" fontId="47" fillId="24" borderId="67" xfId="0" applyFont="1" applyFill="1" applyBorder="1" applyAlignment="1" applyProtection="1">
      <alignment horizontal="center"/>
      <protection hidden="1"/>
    </xf>
    <xf numFmtId="0" fontId="47" fillId="24" borderId="43" xfId="0" applyFont="1" applyFill="1" applyBorder="1" applyAlignment="1" applyProtection="1">
      <alignment horizontal="center"/>
      <protection hidden="1"/>
    </xf>
    <xf numFmtId="44" fontId="47" fillId="24" borderId="26" xfId="29" applyFont="1" applyFill="1" applyBorder="1" applyAlignment="1" applyProtection="1">
      <alignment horizontal="center"/>
      <protection hidden="1"/>
    </xf>
    <xf numFmtId="164" fontId="47" fillId="24" borderId="26" xfId="29" applyNumberFormat="1" applyFont="1" applyFill="1" applyBorder="1" applyAlignment="1" applyProtection="1">
      <alignment horizontal="center"/>
      <protection hidden="1"/>
    </xf>
    <xf numFmtId="164" fontId="47" fillId="24" borderId="43" xfId="29" applyNumberFormat="1" applyFont="1" applyFill="1" applyBorder="1" applyAlignment="1" applyProtection="1">
      <alignment horizontal="center"/>
      <protection hidden="1"/>
    </xf>
    <xf numFmtId="0" fontId="47" fillId="24" borderId="44" xfId="0" applyFont="1" applyFill="1" applyBorder="1" applyAlignment="1" applyProtection="1">
      <alignment horizontal="center"/>
      <protection hidden="1"/>
    </xf>
    <xf numFmtId="0" fontId="47" fillId="25" borderId="29" xfId="0" applyFont="1" applyFill="1" applyBorder="1" applyProtection="1">
      <protection hidden="1"/>
    </xf>
    <xf numFmtId="0" fontId="47" fillId="25" borderId="68" xfId="0" applyFont="1" applyFill="1" applyBorder="1" applyAlignment="1" applyProtection="1">
      <alignment horizontal="center"/>
      <protection hidden="1"/>
    </xf>
    <xf numFmtId="0" fontId="47" fillId="25" borderId="36" xfId="0" applyFont="1" applyFill="1" applyBorder="1" applyAlignment="1" applyProtection="1">
      <alignment horizontal="center"/>
      <protection hidden="1"/>
    </xf>
    <xf numFmtId="44" fontId="47" fillId="25" borderId="35" xfId="29" applyFont="1" applyFill="1" applyBorder="1" applyAlignment="1" applyProtection="1">
      <alignment horizontal="center"/>
      <protection hidden="1"/>
    </xf>
    <xf numFmtId="164" fontId="47" fillId="25" borderId="35" xfId="29" applyNumberFormat="1" applyFont="1" applyFill="1" applyBorder="1" applyAlignment="1" applyProtection="1">
      <alignment horizontal="center"/>
      <protection hidden="1"/>
    </xf>
    <xf numFmtId="164" fontId="47" fillId="25" borderId="36" xfId="29" applyNumberFormat="1" applyFont="1" applyFill="1" applyBorder="1" applyAlignment="1" applyProtection="1">
      <alignment horizontal="center"/>
      <protection hidden="1"/>
    </xf>
    <xf numFmtId="0" fontId="47" fillId="25" borderId="37" xfId="0" applyFont="1" applyFill="1" applyBorder="1" applyAlignment="1" applyProtection="1">
      <alignment horizontal="center"/>
      <protection hidden="1"/>
    </xf>
    <xf numFmtId="0" fontId="47" fillId="25" borderId="47" xfId="0" applyFont="1" applyFill="1" applyBorder="1" applyProtection="1">
      <protection hidden="1"/>
    </xf>
    <xf numFmtId="0" fontId="47" fillId="25" borderId="64" xfId="0" applyFont="1" applyFill="1" applyBorder="1" applyAlignment="1" applyProtection="1">
      <alignment horizontal="center"/>
      <protection hidden="1"/>
    </xf>
    <xf numFmtId="0" fontId="47" fillId="25" borderId="0" xfId="0" applyFont="1" applyFill="1" applyAlignment="1" applyProtection="1">
      <alignment horizontal="center"/>
      <protection hidden="1"/>
    </xf>
    <xf numFmtId="44" fontId="47" fillId="25" borderId="13" xfId="29" applyFont="1" applyFill="1" applyBorder="1" applyAlignment="1" applyProtection="1">
      <alignment horizontal="center"/>
      <protection hidden="1"/>
    </xf>
    <xf numFmtId="164" fontId="47" fillId="25" borderId="13" xfId="29" applyNumberFormat="1" applyFont="1" applyFill="1" applyBorder="1" applyAlignment="1" applyProtection="1">
      <alignment horizontal="center"/>
      <protection hidden="1"/>
    </xf>
    <xf numFmtId="164" fontId="47" fillId="25" borderId="0" xfId="29" applyNumberFormat="1" applyFont="1" applyFill="1" applyBorder="1" applyAlignment="1" applyProtection="1">
      <alignment horizontal="center"/>
      <protection hidden="1"/>
    </xf>
    <xf numFmtId="0" fontId="47" fillId="25" borderId="69" xfId="0" applyFont="1" applyFill="1" applyBorder="1" applyAlignment="1" applyProtection="1">
      <alignment horizontal="center"/>
      <protection hidden="1"/>
    </xf>
    <xf numFmtId="0" fontId="47" fillId="25" borderId="70" xfId="0" applyFont="1" applyFill="1" applyBorder="1" applyAlignment="1" applyProtection="1">
      <alignment horizontal="center"/>
      <protection hidden="1"/>
    </xf>
    <xf numFmtId="164" fontId="47" fillId="25" borderId="70" xfId="29" applyNumberFormat="1" applyFont="1" applyFill="1" applyBorder="1" applyAlignment="1" applyProtection="1">
      <alignment horizontal="center"/>
      <protection hidden="1"/>
    </xf>
    <xf numFmtId="0" fontId="47" fillId="25" borderId="46" xfId="0" applyFont="1" applyFill="1" applyBorder="1" applyProtection="1">
      <protection hidden="1"/>
    </xf>
    <xf numFmtId="0" fontId="47" fillId="25" borderId="71" xfId="0" applyFont="1" applyFill="1" applyBorder="1" applyAlignment="1" applyProtection="1">
      <alignment horizontal="center"/>
      <protection hidden="1"/>
    </xf>
    <xf numFmtId="0" fontId="47" fillId="25" borderId="38" xfId="0" applyFont="1" applyFill="1" applyBorder="1" applyAlignment="1" applyProtection="1">
      <alignment horizontal="center"/>
      <protection hidden="1"/>
    </xf>
    <xf numFmtId="44" fontId="47" fillId="25" borderId="51" xfId="29" applyFont="1" applyFill="1" applyBorder="1" applyAlignment="1" applyProtection="1">
      <alignment horizontal="center"/>
      <protection hidden="1"/>
    </xf>
    <xf numFmtId="164" fontId="47" fillId="25" borderId="51" xfId="29" applyNumberFormat="1" applyFont="1" applyFill="1" applyBorder="1" applyAlignment="1" applyProtection="1">
      <alignment horizontal="center"/>
      <protection hidden="1"/>
    </xf>
    <xf numFmtId="164" fontId="47" fillId="25" borderId="38" xfId="29" applyNumberFormat="1" applyFont="1" applyFill="1" applyBorder="1" applyAlignment="1" applyProtection="1">
      <alignment horizontal="center"/>
      <protection hidden="1"/>
    </xf>
    <xf numFmtId="0" fontId="47" fillId="25" borderId="39" xfId="0" applyFont="1" applyFill="1" applyBorder="1" applyAlignment="1" applyProtection="1">
      <alignment horizontal="center"/>
      <protection hidden="1"/>
    </xf>
    <xf numFmtId="0" fontId="47" fillId="24" borderId="29" xfId="0" applyFont="1" applyFill="1" applyBorder="1" applyProtection="1">
      <protection hidden="1"/>
    </xf>
    <xf numFmtId="0" fontId="47" fillId="24" borderId="68" xfId="0" applyFont="1" applyFill="1" applyBorder="1" applyAlignment="1" applyProtection="1">
      <alignment horizontal="center"/>
      <protection hidden="1"/>
    </xf>
    <xf numFmtId="0" fontId="47" fillId="24" borderId="36" xfId="0" applyFont="1" applyFill="1" applyBorder="1" applyAlignment="1" applyProtection="1">
      <alignment horizontal="center"/>
      <protection hidden="1"/>
    </xf>
    <xf numFmtId="44" fontId="47" fillId="24" borderId="35" xfId="29" applyFont="1" applyFill="1" applyBorder="1" applyAlignment="1" applyProtection="1">
      <alignment horizontal="center"/>
      <protection hidden="1"/>
    </xf>
    <xf numFmtId="164" fontId="47" fillId="24" borderId="35" xfId="29" applyNumberFormat="1" applyFont="1" applyFill="1" applyBorder="1" applyAlignment="1" applyProtection="1">
      <alignment horizontal="center"/>
      <protection hidden="1"/>
    </xf>
    <xf numFmtId="164" fontId="47" fillId="24" borderId="36" xfId="29" applyNumberFormat="1" applyFont="1" applyFill="1" applyBorder="1" applyAlignment="1" applyProtection="1">
      <alignment horizontal="center"/>
      <protection hidden="1"/>
    </xf>
    <xf numFmtId="0" fontId="47" fillId="24" borderId="37" xfId="0" applyFont="1" applyFill="1" applyBorder="1" applyAlignment="1" applyProtection="1">
      <alignment horizontal="center"/>
      <protection hidden="1"/>
    </xf>
    <xf numFmtId="0" fontId="47" fillId="24" borderId="46" xfId="0" applyFont="1" applyFill="1" applyBorder="1" applyProtection="1">
      <protection hidden="1"/>
    </xf>
    <xf numFmtId="0" fontId="47" fillId="24" borderId="71" xfId="0" applyFont="1" applyFill="1" applyBorder="1" applyAlignment="1" applyProtection="1">
      <alignment horizontal="center"/>
      <protection hidden="1"/>
    </xf>
    <xf numFmtId="0" fontId="47" fillId="24" borderId="38" xfId="0" applyFont="1" applyFill="1" applyBorder="1" applyAlignment="1" applyProtection="1">
      <alignment horizontal="center"/>
      <protection hidden="1"/>
    </xf>
    <xf numFmtId="44" fontId="47" fillId="24" borderId="51" xfId="29" applyFont="1" applyFill="1" applyBorder="1" applyAlignment="1" applyProtection="1">
      <alignment horizontal="center"/>
      <protection hidden="1"/>
    </xf>
    <xf numFmtId="164" fontId="47" fillId="24" borderId="51" xfId="29" applyNumberFormat="1" applyFont="1" applyFill="1" applyBorder="1" applyAlignment="1" applyProtection="1">
      <alignment horizontal="center"/>
      <protection hidden="1"/>
    </xf>
    <xf numFmtId="164" fontId="47" fillId="24" borderId="38" xfId="29" applyNumberFormat="1" applyFont="1" applyFill="1" applyBorder="1" applyAlignment="1" applyProtection="1">
      <alignment horizontal="center"/>
      <protection hidden="1"/>
    </xf>
    <xf numFmtId="0" fontId="47" fillId="24" borderId="39" xfId="0" applyFont="1" applyFill="1" applyBorder="1" applyAlignment="1" applyProtection="1">
      <alignment horizontal="center"/>
      <protection hidden="1"/>
    </xf>
    <xf numFmtId="0" fontId="47" fillId="25" borderId="20" xfId="0" applyFont="1" applyFill="1" applyBorder="1" applyProtection="1">
      <protection hidden="1"/>
    </xf>
    <xf numFmtId="0" fontId="47" fillId="25" borderId="67" xfId="0" applyFont="1" applyFill="1" applyBorder="1" applyAlignment="1" applyProtection="1">
      <alignment horizontal="center"/>
      <protection hidden="1"/>
    </xf>
    <xf numFmtId="0" fontId="47" fillId="25" borderId="43" xfId="0" applyFont="1" applyFill="1" applyBorder="1" applyAlignment="1" applyProtection="1">
      <alignment horizontal="center"/>
      <protection hidden="1"/>
    </xf>
    <xf numFmtId="44" fontId="47" fillId="25" borderId="26" xfId="29" applyFont="1" applyFill="1" applyBorder="1" applyAlignment="1" applyProtection="1">
      <alignment horizontal="center"/>
      <protection hidden="1"/>
    </xf>
    <xf numFmtId="164" fontId="47" fillId="25" borderId="26" xfId="29" applyNumberFormat="1" applyFont="1" applyFill="1" applyBorder="1" applyAlignment="1" applyProtection="1">
      <alignment horizontal="center"/>
      <protection hidden="1"/>
    </xf>
    <xf numFmtId="164" fontId="47" fillId="25" borderId="43" xfId="29" applyNumberFormat="1" applyFont="1" applyFill="1" applyBorder="1" applyAlignment="1" applyProtection="1">
      <alignment horizontal="center"/>
      <protection hidden="1"/>
    </xf>
    <xf numFmtId="0" fontId="47" fillId="25" borderId="44" xfId="0" applyFont="1" applyFill="1" applyBorder="1" applyAlignment="1" applyProtection="1">
      <alignment horizontal="center"/>
      <protection hidden="1"/>
    </xf>
    <xf numFmtId="0" fontId="47" fillId="24" borderId="52" xfId="0" applyFont="1" applyFill="1" applyBorder="1" applyAlignment="1" applyProtection="1">
      <alignment horizontal="left"/>
      <protection hidden="1"/>
    </xf>
    <xf numFmtId="44" fontId="47" fillId="24" borderId="36" xfId="29" applyFont="1" applyFill="1" applyBorder="1" applyAlignment="1" applyProtection="1">
      <alignment horizontal="center"/>
      <protection hidden="1"/>
    </xf>
    <xf numFmtId="2" fontId="47" fillId="24" borderId="36" xfId="0" applyNumberFormat="1" applyFont="1" applyFill="1" applyBorder="1" applyAlignment="1" applyProtection="1">
      <alignment horizontal="center"/>
      <protection hidden="1"/>
    </xf>
    <xf numFmtId="0" fontId="47" fillId="24" borderId="40" xfId="0" applyFont="1" applyFill="1" applyBorder="1" applyAlignment="1" applyProtection="1">
      <alignment horizontal="left"/>
      <protection hidden="1"/>
    </xf>
    <xf numFmtId="0" fontId="47" fillId="24" borderId="0" xfId="0" applyFont="1" applyFill="1" applyAlignment="1" applyProtection="1">
      <alignment horizontal="center"/>
      <protection hidden="1"/>
    </xf>
    <xf numFmtId="44" fontId="47" fillId="24" borderId="0" xfId="29" applyFont="1" applyFill="1" applyBorder="1" applyAlignment="1" applyProtection="1">
      <alignment horizontal="center"/>
      <protection hidden="1"/>
    </xf>
    <xf numFmtId="2" fontId="47" fillId="24" borderId="0" xfId="0" applyNumberFormat="1" applyFont="1" applyFill="1" applyAlignment="1" applyProtection="1">
      <alignment horizontal="center"/>
      <protection hidden="1"/>
    </xf>
    <xf numFmtId="0" fontId="47" fillId="24" borderId="69" xfId="0" applyFont="1" applyFill="1" applyBorder="1" applyAlignment="1" applyProtection="1">
      <alignment horizontal="center"/>
      <protection hidden="1"/>
    </xf>
    <xf numFmtId="0" fontId="47" fillId="24" borderId="53" xfId="0" applyFont="1" applyFill="1" applyBorder="1" applyAlignment="1" applyProtection="1">
      <alignment horizontal="left"/>
      <protection hidden="1"/>
    </xf>
    <xf numFmtId="44" fontId="47" fillId="24" borderId="38" xfId="29" applyFont="1" applyFill="1" applyBorder="1" applyAlignment="1" applyProtection="1">
      <alignment horizontal="center"/>
      <protection hidden="1"/>
    </xf>
    <xf numFmtId="2" fontId="47" fillId="24" borderId="38" xfId="0" applyNumberFormat="1" applyFont="1" applyFill="1" applyBorder="1" applyAlignment="1" applyProtection="1">
      <alignment horizontal="center"/>
      <protection hidden="1"/>
    </xf>
    <xf numFmtId="0" fontId="47" fillId="24" borderId="47" xfId="0" applyFont="1" applyFill="1" applyBorder="1" applyProtection="1">
      <protection hidden="1"/>
    </xf>
    <xf numFmtId="0" fontId="47" fillId="24" borderId="70" xfId="0" applyFont="1" applyFill="1" applyBorder="1" applyAlignment="1" applyProtection="1">
      <alignment horizontal="center"/>
      <protection hidden="1"/>
    </xf>
    <xf numFmtId="44" fontId="47" fillId="24" borderId="13" xfId="29" applyFont="1" applyFill="1" applyBorder="1" applyAlignment="1" applyProtection="1">
      <alignment horizontal="center"/>
      <protection hidden="1"/>
    </xf>
    <xf numFmtId="164" fontId="47" fillId="24" borderId="13" xfId="29" applyNumberFormat="1" applyFont="1" applyFill="1" applyBorder="1" applyAlignment="1" applyProtection="1">
      <alignment horizontal="center"/>
      <protection hidden="1"/>
    </xf>
    <xf numFmtId="164" fontId="47" fillId="24" borderId="0" xfId="29" applyNumberFormat="1" applyFont="1" applyFill="1" applyBorder="1" applyAlignment="1" applyProtection="1">
      <alignment horizontal="center"/>
      <protection hidden="1"/>
    </xf>
    <xf numFmtId="0" fontId="47" fillId="24" borderId="38" xfId="0" applyFont="1" applyFill="1" applyBorder="1" applyAlignment="1">
      <alignment horizontal="center"/>
    </xf>
    <xf numFmtId="0" fontId="47" fillId="24" borderId="52" xfId="0" applyFont="1" applyFill="1" applyBorder="1" applyProtection="1">
      <protection hidden="1"/>
    </xf>
    <xf numFmtId="0" fontId="47" fillId="24" borderId="35" xfId="0" applyFont="1" applyFill="1" applyBorder="1" applyAlignment="1" applyProtection="1">
      <alignment horizontal="center"/>
      <protection hidden="1"/>
    </xf>
    <xf numFmtId="0" fontId="47" fillId="24" borderId="40" xfId="0" applyFont="1" applyFill="1" applyBorder="1" applyProtection="1">
      <protection hidden="1"/>
    </xf>
    <xf numFmtId="0" fontId="47" fillId="24" borderId="13" xfId="0" applyFont="1" applyFill="1" applyBorder="1" applyAlignment="1" applyProtection="1">
      <alignment horizontal="center"/>
      <protection hidden="1"/>
    </xf>
    <xf numFmtId="0" fontId="47" fillId="24" borderId="53" xfId="0" applyFont="1" applyFill="1" applyBorder="1" applyProtection="1">
      <protection hidden="1"/>
    </xf>
    <xf numFmtId="0" fontId="47" fillId="24" borderId="51" xfId="0" applyFont="1" applyFill="1" applyBorder="1" applyAlignment="1" applyProtection="1">
      <alignment horizontal="center"/>
      <protection hidden="1"/>
    </xf>
    <xf numFmtId="0" fontId="47" fillId="25" borderId="52" xfId="0" applyFont="1" applyFill="1" applyBorder="1" applyAlignment="1" applyProtection="1">
      <alignment horizontal="left" vertical="center"/>
      <protection hidden="1"/>
    </xf>
    <xf numFmtId="0" fontId="47" fillId="25" borderId="68" xfId="0" applyFont="1" applyFill="1" applyBorder="1" applyAlignment="1" applyProtection="1">
      <alignment horizontal="center" vertical="center"/>
      <protection hidden="1"/>
    </xf>
    <xf numFmtId="0" fontId="47" fillId="25" borderId="36" xfId="0" applyFont="1" applyFill="1" applyBorder="1" applyAlignment="1" applyProtection="1">
      <alignment horizontal="center" vertical="center"/>
      <protection hidden="1"/>
    </xf>
    <xf numFmtId="44" fontId="47" fillId="25" borderId="35" xfId="0" applyNumberFormat="1" applyFont="1" applyFill="1" applyBorder="1" applyAlignment="1" applyProtection="1">
      <alignment horizontal="center" vertical="center"/>
      <protection hidden="1"/>
    </xf>
    <xf numFmtId="0" fontId="47" fillId="25" borderId="30" xfId="0" applyFont="1" applyFill="1" applyBorder="1" applyAlignment="1" applyProtection="1">
      <alignment horizontal="center"/>
      <protection hidden="1"/>
    </xf>
    <xf numFmtId="0" fontId="47" fillId="25" borderId="35" xfId="0" applyFont="1" applyFill="1" applyBorder="1" applyAlignment="1" applyProtection="1">
      <alignment horizontal="center"/>
      <protection hidden="1"/>
    </xf>
    <xf numFmtId="0" fontId="47" fillId="25" borderId="37" xfId="0" applyFont="1" applyFill="1" applyBorder="1" applyAlignment="1" applyProtection="1">
      <alignment horizontal="center" vertical="center"/>
      <protection hidden="1"/>
    </xf>
    <xf numFmtId="0" fontId="47" fillId="25" borderId="40" xfId="0" applyFont="1" applyFill="1" applyBorder="1" applyAlignment="1" applyProtection="1">
      <alignment horizontal="left"/>
      <protection hidden="1"/>
    </xf>
    <xf numFmtId="44" fontId="47" fillId="25" borderId="13" xfId="0" applyNumberFormat="1" applyFont="1" applyFill="1" applyBorder="1" applyAlignment="1" applyProtection="1">
      <alignment horizontal="center" vertical="center"/>
      <protection hidden="1"/>
    </xf>
    <xf numFmtId="0" fontId="47" fillId="25" borderId="62" xfId="0" applyFont="1" applyFill="1" applyBorder="1" applyAlignment="1" applyProtection="1">
      <alignment horizontal="center"/>
      <protection hidden="1"/>
    </xf>
    <xf numFmtId="0" fontId="47" fillId="25" borderId="13" xfId="0" applyFont="1" applyFill="1" applyBorder="1" applyAlignment="1" applyProtection="1">
      <alignment horizontal="center"/>
      <protection hidden="1"/>
    </xf>
    <xf numFmtId="0" fontId="7" fillId="25" borderId="0" xfId="0" applyFont="1" applyFill="1" applyAlignment="1" applyProtection="1">
      <alignment horizontal="center"/>
      <protection hidden="1"/>
    </xf>
    <xf numFmtId="0" fontId="7" fillId="25" borderId="69" xfId="0" applyFont="1" applyFill="1" applyBorder="1" applyAlignment="1" applyProtection="1">
      <alignment horizontal="center"/>
      <protection hidden="1"/>
    </xf>
    <xf numFmtId="44" fontId="47" fillId="25" borderId="51" xfId="0" applyNumberFormat="1" applyFont="1" applyFill="1" applyBorder="1" applyAlignment="1" applyProtection="1">
      <alignment horizontal="center" vertical="center"/>
      <protection hidden="1"/>
    </xf>
    <xf numFmtId="0" fontId="47" fillId="25" borderId="51" xfId="0" applyFont="1" applyFill="1" applyBorder="1" applyAlignment="1" applyProtection="1">
      <alignment horizontal="center"/>
      <protection hidden="1"/>
    </xf>
    <xf numFmtId="0" fontId="47" fillId="26" borderId="0" xfId="0" applyFont="1" applyFill="1" applyProtection="1">
      <protection hidden="1"/>
    </xf>
    <xf numFmtId="0" fontId="47" fillId="6" borderId="70" xfId="0" applyFont="1" applyFill="1" applyBorder="1" applyAlignment="1" applyProtection="1">
      <alignment horizontal="center"/>
      <protection hidden="1"/>
    </xf>
    <xf numFmtId="0" fontId="47" fillId="6" borderId="0" xfId="0" applyFont="1" applyFill="1" applyAlignment="1" applyProtection="1">
      <alignment horizontal="center"/>
      <protection hidden="1"/>
    </xf>
    <xf numFmtId="2" fontId="47" fillId="27" borderId="70" xfId="0" applyNumberFormat="1" applyFont="1" applyFill="1" applyBorder="1" applyAlignment="1" applyProtection="1">
      <alignment horizontal="center"/>
      <protection hidden="1"/>
    </xf>
    <xf numFmtId="0" fontId="47" fillId="27" borderId="0" xfId="0" applyFont="1" applyFill="1" applyAlignment="1" applyProtection="1">
      <alignment horizontal="center"/>
      <protection hidden="1"/>
    </xf>
    <xf numFmtId="0" fontId="47" fillId="27" borderId="69" xfId="0" applyFont="1" applyFill="1" applyBorder="1" applyAlignment="1" applyProtection="1">
      <alignment horizontal="center"/>
      <protection hidden="1"/>
    </xf>
    <xf numFmtId="0" fontId="47" fillId="27" borderId="0" xfId="0" applyFont="1" applyFill="1" applyProtection="1">
      <protection hidden="1"/>
    </xf>
    <xf numFmtId="2" fontId="47" fillId="27" borderId="71" xfId="0" applyNumberFormat="1" applyFont="1" applyFill="1" applyBorder="1" applyAlignment="1" applyProtection="1">
      <alignment horizontal="center"/>
      <protection hidden="1"/>
    </xf>
    <xf numFmtId="0" fontId="47" fillId="27" borderId="38" xfId="0" applyFont="1" applyFill="1" applyBorder="1" applyAlignment="1" applyProtection="1">
      <alignment horizontal="center"/>
      <protection hidden="1"/>
    </xf>
    <xf numFmtId="0" fontId="51" fillId="0" borderId="0" xfId="0" applyFont="1" applyAlignment="1">
      <alignment horizontal="left"/>
    </xf>
    <xf numFmtId="0" fontId="47" fillId="27" borderId="43" xfId="0" applyFont="1" applyFill="1" applyBorder="1" applyAlignment="1" applyProtection="1">
      <alignment horizontal="center"/>
      <protection hidden="1"/>
    </xf>
    <xf numFmtId="0" fontId="47" fillId="27" borderId="67" xfId="0" applyFont="1" applyFill="1" applyBorder="1" applyAlignment="1" applyProtection="1">
      <alignment horizontal="center"/>
      <protection hidden="1"/>
    </xf>
    <xf numFmtId="0" fontId="47" fillId="24" borderId="20" xfId="0" applyFont="1" applyFill="1" applyBorder="1" applyAlignment="1" applyProtection="1">
      <alignment horizontal="left"/>
      <protection hidden="1"/>
    </xf>
    <xf numFmtId="44" fontId="47" fillId="24" borderId="26" xfId="0" applyNumberFormat="1" applyFont="1" applyFill="1" applyBorder="1" applyAlignment="1" applyProtection="1">
      <alignment horizontal="center" vertical="center"/>
      <protection hidden="1"/>
    </xf>
    <xf numFmtId="0" fontId="47" fillId="24" borderId="18" xfId="0" applyFont="1" applyFill="1" applyBorder="1" applyAlignment="1" applyProtection="1">
      <alignment horizontal="center"/>
      <protection hidden="1"/>
    </xf>
    <xf numFmtId="0" fontId="47" fillId="24" borderId="26" xfId="0" applyFont="1" applyFill="1" applyBorder="1" applyAlignment="1" applyProtection="1">
      <alignment horizontal="center"/>
      <protection hidden="1"/>
    </xf>
    <xf numFmtId="0" fontId="7" fillId="24" borderId="43" xfId="0" applyFont="1" applyFill="1" applyBorder="1" applyAlignment="1" applyProtection="1">
      <alignment horizontal="center"/>
      <protection hidden="1"/>
    </xf>
    <xf numFmtId="0" fontId="7" fillId="24" borderId="44" xfId="0" applyFont="1" applyFill="1" applyBorder="1" applyAlignment="1" applyProtection="1">
      <alignment horizontal="center"/>
      <protection hidden="1"/>
    </xf>
    <xf numFmtId="0" fontId="47" fillId="25" borderId="52" xfId="0" applyFont="1" applyFill="1" applyBorder="1" applyProtection="1">
      <protection hidden="1"/>
    </xf>
    <xf numFmtId="0" fontId="47" fillId="25" borderId="36" xfId="0" applyFont="1" applyFill="1" applyBorder="1" applyProtection="1">
      <protection hidden="1"/>
    </xf>
    <xf numFmtId="0" fontId="47" fillId="25" borderId="30" xfId="0" applyFont="1" applyFill="1" applyBorder="1" applyProtection="1">
      <protection hidden="1"/>
    </xf>
    <xf numFmtId="0" fontId="47" fillId="25" borderId="37" xfId="0" applyFont="1" applyFill="1" applyBorder="1" applyProtection="1">
      <protection hidden="1"/>
    </xf>
    <xf numFmtId="0" fontId="47" fillId="25" borderId="40" xfId="0" applyFont="1" applyFill="1" applyBorder="1" applyProtection="1">
      <protection hidden="1"/>
    </xf>
    <xf numFmtId="0" fontId="47" fillId="25" borderId="0" xfId="0" applyFont="1" applyFill="1" applyProtection="1">
      <protection hidden="1"/>
    </xf>
    <xf numFmtId="0" fontId="47" fillId="25" borderId="62" xfId="0" applyFont="1" applyFill="1" applyBorder="1" applyProtection="1">
      <protection hidden="1"/>
    </xf>
    <xf numFmtId="0" fontId="47" fillId="25" borderId="69" xfId="0" applyFont="1" applyFill="1" applyBorder="1" applyProtection="1">
      <protection hidden="1"/>
    </xf>
    <xf numFmtId="0" fontId="47" fillId="25" borderId="53" xfId="0" applyFont="1" applyFill="1" applyBorder="1" applyProtection="1">
      <protection hidden="1"/>
    </xf>
    <xf numFmtId="0" fontId="47" fillId="25" borderId="38" xfId="0" applyFont="1" applyFill="1" applyBorder="1" applyProtection="1">
      <protection hidden="1"/>
    </xf>
    <xf numFmtId="0" fontId="47" fillId="25" borderId="41" xfId="0" applyFont="1" applyFill="1" applyBorder="1" applyProtection="1">
      <protection hidden="1"/>
    </xf>
    <xf numFmtId="0" fontId="47" fillId="25" borderId="39" xfId="0" applyFont="1" applyFill="1" applyBorder="1" applyProtection="1">
      <protection hidden="1"/>
    </xf>
    <xf numFmtId="0" fontId="7" fillId="27" borderId="43" xfId="0" applyFont="1" applyFill="1" applyBorder="1" applyAlignment="1" applyProtection="1">
      <alignment horizontal="center"/>
      <protection hidden="1"/>
    </xf>
    <xf numFmtId="0" fontId="47" fillId="27" borderId="36" xfId="0" applyFont="1" applyFill="1" applyBorder="1" applyAlignment="1" applyProtection="1">
      <alignment horizontal="center"/>
      <protection hidden="1"/>
    </xf>
    <xf numFmtId="0" fontId="47" fillId="25" borderId="64" xfId="0" applyFont="1" applyFill="1" applyBorder="1" applyProtection="1">
      <protection hidden="1"/>
    </xf>
    <xf numFmtId="0" fontId="47" fillId="25" borderId="16" xfId="0" applyFont="1" applyFill="1" applyBorder="1" applyProtection="1">
      <protection hidden="1"/>
    </xf>
    <xf numFmtId="0" fontId="47" fillId="25" borderId="15" xfId="0" applyFont="1" applyFill="1" applyBorder="1" applyProtection="1">
      <protection hidden="1"/>
    </xf>
    <xf numFmtId="44" fontId="47" fillId="25" borderId="14" xfId="29" applyFont="1" applyFill="1" applyBorder="1" applyAlignment="1" applyProtection="1">
      <alignment horizontal="center"/>
      <protection hidden="1"/>
    </xf>
    <xf numFmtId="0" fontId="47" fillId="25" borderId="14" xfId="0" applyFont="1" applyFill="1" applyBorder="1" applyProtection="1">
      <protection hidden="1"/>
    </xf>
    <xf numFmtId="0" fontId="47" fillId="25" borderId="13" xfId="0" applyFont="1" applyFill="1" applyBorder="1" applyProtection="1">
      <protection hidden="1"/>
    </xf>
    <xf numFmtId="0" fontId="47" fillId="27" borderId="2" xfId="0" applyFont="1" applyFill="1" applyBorder="1" applyAlignment="1" applyProtection="1">
      <alignment horizontal="left"/>
      <protection hidden="1"/>
    </xf>
    <xf numFmtId="0" fontId="125" fillId="0" borderId="0" xfId="0" applyFont="1" applyAlignment="1">
      <alignment horizontal="left"/>
    </xf>
    <xf numFmtId="0" fontId="47" fillId="27" borderId="2" xfId="0" applyFont="1" applyFill="1" applyBorder="1" applyProtection="1">
      <protection hidden="1"/>
    </xf>
    <xf numFmtId="0" fontId="47" fillId="27" borderId="2" xfId="0" applyFont="1" applyFill="1" applyBorder="1" applyAlignment="1" applyProtection="1">
      <alignment horizontal="center"/>
      <protection hidden="1"/>
    </xf>
    <xf numFmtId="0" fontId="126" fillId="0" borderId="0" xfId="0" applyFont="1" applyProtection="1">
      <protection hidden="1"/>
    </xf>
    <xf numFmtId="0" fontId="7" fillId="0" borderId="0" xfId="0" applyFont="1" applyProtection="1">
      <protection hidden="1"/>
    </xf>
    <xf numFmtId="2" fontId="47" fillId="3" borderId="2" xfId="3" applyNumberFormat="1" applyFont="1" applyFill="1" applyBorder="1" applyAlignment="1" applyProtection="1">
      <alignment horizontal="center"/>
      <protection hidden="1"/>
    </xf>
    <xf numFmtId="2" fontId="47" fillId="0" borderId="2" xfId="3" applyNumberFormat="1" applyFont="1" applyBorder="1" applyAlignment="1" applyProtection="1">
      <alignment horizontal="center"/>
      <protection hidden="1"/>
    </xf>
    <xf numFmtId="181" fontId="3" fillId="10" borderId="2" xfId="3" applyNumberFormat="1" applyFont="1" applyFill="1" applyBorder="1" applyAlignment="1" applyProtection="1">
      <alignment horizontal="right"/>
      <protection locked="0"/>
    </xf>
    <xf numFmtId="43" fontId="3" fillId="10" borderId="2" xfId="3" applyFont="1" applyFill="1" applyBorder="1" applyAlignment="1" applyProtection="1">
      <alignment horizontal="right"/>
      <protection locked="0"/>
    </xf>
    <xf numFmtId="0" fontId="47" fillId="27" borderId="11" xfId="59" applyFont="1" applyFill="1" applyBorder="1" applyAlignment="1" applyProtection="1">
      <alignment horizontal="left"/>
      <protection hidden="1"/>
    </xf>
    <xf numFmtId="0" fontId="128" fillId="0" borderId="0" xfId="0" applyFont="1" applyProtection="1">
      <protection hidden="1"/>
    </xf>
    <xf numFmtId="14" fontId="50" fillId="4" borderId="8" xfId="0" applyNumberFormat="1" applyFont="1" applyFill="1" applyBorder="1"/>
    <xf numFmtId="3" fontId="46" fillId="0" borderId="2" xfId="0" applyNumberFormat="1" applyFont="1" applyBorder="1" applyAlignment="1" applyProtection="1">
      <alignment horizontal="center" vertical="center"/>
      <protection hidden="1"/>
    </xf>
    <xf numFmtId="0" fontId="47" fillId="6" borderId="71" xfId="0" applyFont="1" applyFill="1" applyBorder="1" applyAlignment="1" applyProtection="1">
      <alignment horizontal="center"/>
      <protection hidden="1"/>
    </xf>
    <xf numFmtId="0" fontId="47" fillId="6" borderId="38" xfId="0" applyFont="1" applyFill="1" applyBorder="1" applyAlignment="1" applyProtection="1">
      <alignment horizontal="center"/>
      <protection hidden="1"/>
    </xf>
    <xf numFmtId="0" fontId="7" fillId="6" borderId="70" xfId="0" applyFont="1" applyFill="1" applyBorder="1" applyAlignment="1" applyProtection="1">
      <alignment horizontal="center"/>
      <protection hidden="1"/>
    </xf>
    <xf numFmtId="0" fontId="7" fillId="6" borderId="0" xfId="0" applyFont="1" applyFill="1" applyAlignment="1" applyProtection="1">
      <alignment horizontal="center"/>
      <protection hidden="1"/>
    </xf>
    <xf numFmtId="0" fontId="4" fillId="0" borderId="0" xfId="52" applyFont="1" applyAlignment="1" applyProtection="1">
      <alignment horizontal="center" vertical="center"/>
      <protection hidden="1"/>
    </xf>
    <xf numFmtId="0" fontId="4" fillId="0" borderId="0" xfId="52" applyFont="1" applyAlignment="1" applyProtection="1">
      <alignment horizontal="center" vertical="top" wrapText="1"/>
      <protection hidden="1"/>
    </xf>
    <xf numFmtId="172" fontId="4" fillId="0" borderId="0" xfId="30" applyNumberFormat="1" applyFont="1" applyBorder="1" applyAlignment="1" applyProtection="1">
      <alignment horizontal="center" vertical="center"/>
      <protection hidden="1"/>
    </xf>
    <xf numFmtId="49" fontId="3" fillId="0" borderId="0" xfId="0" applyNumberFormat="1" applyFont="1" applyAlignment="1">
      <alignment horizontal="left" vertical="center" wrapText="1"/>
    </xf>
    <xf numFmtId="49"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applyFont="1" applyAlignment="1">
      <alignment horizontal="left" vertical="top" wrapText="1"/>
    </xf>
    <xf numFmtId="49" fontId="19" fillId="0" borderId="0" xfId="0" applyNumberFormat="1" applyFont="1" applyAlignment="1">
      <alignment horizontal="left"/>
    </xf>
    <xf numFmtId="0" fontId="70" fillId="0" borderId="9" xfId="0" applyFont="1" applyBorder="1" applyAlignment="1" applyProtection="1">
      <alignment horizontal="center" vertical="center" wrapText="1"/>
      <protection hidden="1"/>
    </xf>
    <xf numFmtId="0" fontId="119" fillId="0" borderId="59" xfId="0" applyFont="1" applyBorder="1" applyAlignment="1" applyProtection="1">
      <alignment horizontal="left"/>
      <protection hidden="1"/>
    </xf>
    <xf numFmtId="0" fontId="64" fillId="0" borderId="0" xfId="0" applyFont="1" applyAlignment="1" applyProtection="1">
      <alignment horizontal="left"/>
      <protection hidden="1"/>
    </xf>
    <xf numFmtId="0" fontId="74" fillId="10" borderId="9" xfId="0" applyFont="1" applyFill="1" applyBorder="1" applyAlignment="1" applyProtection="1">
      <alignment horizontal="left"/>
      <protection locked="0"/>
    </xf>
    <xf numFmtId="0" fontId="64" fillId="0" borderId="0" xfId="0" applyFont="1" applyAlignment="1" applyProtection="1">
      <alignment horizontal="left" vertical="center" wrapText="1"/>
      <protection hidden="1"/>
    </xf>
    <xf numFmtId="0" fontId="64" fillId="0" borderId="0" xfId="0" applyFont="1" applyAlignment="1" applyProtection="1">
      <alignment horizontal="left" vertical="center"/>
      <protection hidden="1"/>
    </xf>
    <xf numFmtId="0" fontId="74" fillId="10" borderId="4" xfId="0" applyFont="1" applyFill="1" applyBorder="1" applyAlignment="1" applyProtection="1">
      <alignment horizontal="left"/>
      <protection locked="0"/>
    </xf>
    <xf numFmtId="0" fontId="74" fillId="10" borderId="9" xfId="0" applyFont="1" applyFill="1" applyBorder="1" applyAlignment="1" applyProtection="1">
      <alignment horizontal="center"/>
      <protection locked="0" hidden="1"/>
    </xf>
    <xf numFmtId="0" fontId="74" fillId="10" borderId="9" xfId="0" applyFont="1" applyFill="1" applyBorder="1" applyAlignment="1" applyProtection="1">
      <alignment horizontal="center"/>
      <protection locked="0"/>
    </xf>
    <xf numFmtId="0" fontId="64" fillId="0" borderId="0" xfId="0" applyFont="1" applyAlignment="1" applyProtection="1">
      <alignment horizontal="right" wrapText="1"/>
      <protection hidden="1"/>
    </xf>
    <xf numFmtId="0" fontId="64" fillId="0" borderId="0" xfId="0" applyFont="1" applyAlignment="1" applyProtection="1">
      <alignment horizontal="right"/>
      <protection hidden="1"/>
    </xf>
    <xf numFmtId="0" fontId="64" fillId="0" borderId="0" xfId="0" applyFont="1" applyAlignment="1" applyProtection="1">
      <alignment horizontal="center"/>
      <protection hidden="1"/>
    </xf>
    <xf numFmtId="0" fontId="74" fillId="10" borderId="4" xfId="0" applyFont="1" applyFill="1" applyBorder="1" applyAlignment="1" applyProtection="1">
      <alignment horizontal="center"/>
      <protection locked="0" hidden="1"/>
    </xf>
    <xf numFmtId="0" fontId="64" fillId="0" borderId="15" xfId="0" applyFont="1" applyBorder="1" applyAlignment="1" applyProtection="1">
      <alignment horizontal="right"/>
      <protection hidden="1"/>
    </xf>
    <xf numFmtId="173" fontId="74" fillId="10" borderId="9" xfId="0" applyNumberFormat="1" applyFont="1" applyFill="1" applyBorder="1" applyAlignment="1" applyProtection="1">
      <alignment horizontal="left"/>
      <protection locked="0"/>
    </xf>
    <xf numFmtId="0" fontId="64" fillId="0" borderId="0" xfId="0" applyFont="1" applyAlignment="1" applyProtection="1">
      <alignment horizontal="center" wrapText="1"/>
      <protection hidden="1"/>
    </xf>
    <xf numFmtId="44" fontId="74" fillId="10" borderId="9" xfId="0" applyNumberFormat="1" applyFont="1" applyFill="1" applyBorder="1" applyProtection="1">
      <protection locked="0"/>
    </xf>
    <xf numFmtId="14" fontId="74" fillId="10" borderId="9" xfId="0" applyNumberFormat="1" applyFont="1" applyFill="1" applyBorder="1" applyProtection="1">
      <protection locked="0"/>
    </xf>
    <xf numFmtId="0" fontId="74" fillId="10" borderId="9" xfId="0" applyFont="1" applyFill="1" applyBorder="1" applyProtection="1">
      <protection locked="0"/>
    </xf>
    <xf numFmtId="0" fontId="99" fillId="0" borderId="0" xfId="0" applyFont="1" applyAlignment="1" applyProtection="1">
      <alignment horizontal="center" wrapText="1"/>
      <protection hidden="1"/>
    </xf>
    <xf numFmtId="173" fontId="74" fillId="10" borderId="4" xfId="0" applyNumberFormat="1" applyFont="1" applyFill="1" applyBorder="1" applyAlignment="1" applyProtection="1">
      <alignment horizontal="left"/>
      <protection locked="0"/>
    </xf>
    <xf numFmtId="0" fontId="119" fillId="0" borderId="60" xfId="0" applyFont="1" applyBorder="1" applyAlignment="1" applyProtection="1">
      <alignment horizontal="left"/>
      <protection hidden="1"/>
    </xf>
    <xf numFmtId="0" fontId="72" fillId="23" borderId="0" xfId="0" applyFont="1" applyFill="1" applyAlignment="1" applyProtection="1">
      <alignment horizontal="left" vertical="center"/>
      <protection hidden="1"/>
    </xf>
    <xf numFmtId="0" fontId="73" fillId="23" borderId="63" xfId="0" applyFont="1" applyFill="1" applyBorder="1" applyAlignment="1" applyProtection="1">
      <alignment horizontal="left" vertical="center"/>
      <protection hidden="1"/>
    </xf>
    <xf numFmtId="0" fontId="26" fillId="0" borderId="0" xfId="0" applyFont="1" applyAlignment="1" applyProtection="1">
      <alignment horizontal="left" vertical="top" wrapText="1"/>
      <protection hidden="1"/>
    </xf>
    <xf numFmtId="0" fontId="26" fillId="0" borderId="0" xfId="0" applyFont="1" applyAlignment="1" applyProtection="1">
      <alignment horizontal="left" vertical="top"/>
      <protection hidden="1"/>
    </xf>
    <xf numFmtId="44" fontId="74" fillId="10" borderId="9" xfId="29" applyFont="1" applyFill="1" applyBorder="1" applyAlignment="1" applyProtection="1">
      <alignment horizontal="left"/>
      <protection locked="0"/>
    </xf>
    <xf numFmtId="0" fontId="119" fillId="0" borderId="58" xfId="0" applyFont="1" applyBorder="1" applyAlignment="1" applyProtection="1">
      <alignment horizontal="left"/>
      <protection hidden="1"/>
    </xf>
    <xf numFmtId="0" fontId="48" fillId="19" borderId="0" xfId="0" applyFont="1" applyFill="1" applyAlignment="1" applyProtection="1">
      <alignment horizontal="center" vertical="center"/>
      <protection hidden="1"/>
    </xf>
    <xf numFmtId="0" fontId="98" fillId="10" borderId="4" xfId="50" applyFont="1" applyFill="1" applyBorder="1" applyAlignment="1" applyProtection="1">
      <alignment horizontal="left"/>
      <protection locked="0"/>
    </xf>
    <xf numFmtId="0" fontId="64" fillId="0" borderId="0" xfId="0" applyFont="1" applyAlignment="1" applyProtection="1">
      <alignment horizontal="left" vertical="top"/>
      <protection hidden="1"/>
    </xf>
    <xf numFmtId="0" fontId="72" fillId="23" borderId="0" xfId="0" applyFont="1" applyFill="1" applyAlignment="1" applyProtection="1">
      <alignment vertical="center"/>
      <protection hidden="1"/>
    </xf>
    <xf numFmtId="0" fontId="73" fillId="23" borderId="63" xfId="0" applyFont="1" applyFill="1" applyBorder="1" applyAlignment="1" applyProtection="1">
      <alignment vertical="center"/>
      <protection hidden="1"/>
    </xf>
    <xf numFmtId="0" fontId="81" fillId="0" borderId="0" xfId="0" applyFont="1" applyAlignment="1" applyProtection="1">
      <alignment horizontal="left" vertical="center"/>
      <protection hidden="1"/>
    </xf>
    <xf numFmtId="0" fontId="12" fillId="0" borderId="0" xfId="0" applyFont="1" applyAlignment="1" applyProtection="1">
      <alignment horizontal="left" vertical="top" wrapText="1"/>
      <protection hidden="1"/>
    </xf>
    <xf numFmtId="0" fontId="85" fillId="0" borderId="0" xfId="0" applyFont="1" applyAlignment="1" applyProtection="1">
      <alignment horizontal="left" vertical="top" wrapText="1"/>
      <protection hidden="1"/>
    </xf>
    <xf numFmtId="0" fontId="12" fillId="0" borderId="0" xfId="0" applyFont="1" applyAlignment="1" applyProtection="1">
      <alignment horizontal="left" vertical="top"/>
      <protection hidden="1"/>
    </xf>
    <xf numFmtId="0" fontId="100" fillId="0" borderId="0" xfId="0" applyFont="1" applyAlignment="1" applyProtection="1">
      <alignment horizontal="left"/>
      <protection hidden="1"/>
    </xf>
    <xf numFmtId="0" fontId="87" fillId="0" borderId="0" xfId="0" applyFont="1" applyAlignment="1" applyProtection="1">
      <alignment horizontal="left" vertical="center"/>
      <protection hidden="1"/>
    </xf>
    <xf numFmtId="0" fontId="119" fillId="0" borderId="58" xfId="0" applyFont="1" applyBorder="1" applyAlignment="1" applyProtection="1">
      <alignment horizontal="left" vertical="center"/>
      <protection hidden="1"/>
    </xf>
    <xf numFmtId="0" fontId="46" fillId="0" borderId="0" xfId="0" applyFont="1" applyAlignment="1" applyProtection="1">
      <alignment horizontal="left" vertical="top"/>
      <protection hidden="1"/>
    </xf>
    <xf numFmtId="0" fontId="4" fillId="0" borderId="0" xfId="0" applyFont="1" applyAlignment="1" applyProtection="1">
      <alignment horizontal="left" vertical="top"/>
      <protection hidden="1"/>
    </xf>
    <xf numFmtId="0" fontId="46"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81" fillId="0" borderId="0" xfId="0" applyFont="1" applyAlignment="1" applyProtection="1">
      <alignment horizontal="center" vertical="center"/>
      <protection hidden="1"/>
    </xf>
    <xf numFmtId="0" fontId="0" fillId="0" borderId="0" xfId="0" applyAlignment="1" applyProtection="1">
      <alignment horizontal="right"/>
      <protection hidden="1"/>
    </xf>
    <xf numFmtId="0" fontId="0" fillId="0" borderId="13" xfId="0" applyBorder="1" applyAlignment="1" applyProtection="1">
      <alignment horizontal="right"/>
      <protection hidden="1"/>
    </xf>
    <xf numFmtId="0" fontId="46" fillId="0" borderId="0" xfId="0" applyFont="1" applyAlignment="1" applyProtection="1">
      <alignment horizontal="center"/>
      <protection hidden="1"/>
    </xf>
    <xf numFmtId="0" fontId="4" fillId="0" borderId="2" xfId="52" applyFont="1" applyBorder="1" applyAlignment="1" applyProtection="1">
      <alignment horizontal="center" vertical="center"/>
      <protection hidden="1"/>
    </xf>
    <xf numFmtId="0" fontId="4" fillId="0" borderId="2" xfId="52" applyFont="1" applyBorder="1" applyAlignment="1" applyProtection="1">
      <alignment horizontal="center" vertical="center" wrapText="1"/>
      <protection hidden="1"/>
    </xf>
    <xf numFmtId="0" fontId="55" fillId="23" borderId="3" xfId="52" applyFont="1" applyFill="1" applyBorder="1" applyAlignment="1" applyProtection="1">
      <alignment horizontal="center" vertical="center" wrapText="1"/>
      <protection hidden="1"/>
    </xf>
    <xf numFmtId="0" fontId="55" fillId="23" borderId="4" xfId="52" applyFont="1" applyFill="1" applyBorder="1" applyAlignment="1" applyProtection="1">
      <alignment horizontal="center" vertical="center" wrapText="1"/>
      <protection hidden="1"/>
    </xf>
    <xf numFmtId="0" fontId="55" fillId="23" borderId="5" xfId="52" applyFont="1" applyFill="1" applyBorder="1" applyAlignment="1" applyProtection="1">
      <alignment horizontal="center" vertical="center" wrapText="1"/>
      <protection hidden="1"/>
    </xf>
    <xf numFmtId="0" fontId="7" fillId="0" borderId="2" xfId="52" applyFont="1" applyBorder="1" applyAlignment="1" applyProtection="1">
      <alignment horizontal="center" vertical="top" wrapText="1"/>
      <protection hidden="1"/>
    </xf>
    <xf numFmtId="0" fontId="55" fillId="23" borderId="2" xfId="52" applyFont="1" applyFill="1" applyBorder="1" applyAlignment="1" applyProtection="1">
      <alignment horizontal="center" vertical="center" wrapText="1"/>
      <protection hidden="1"/>
    </xf>
    <xf numFmtId="6" fontId="7" fillId="0" borderId="3" xfId="52" applyNumberFormat="1" applyFont="1" applyBorder="1" applyAlignment="1" applyProtection="1">
      <alignment horizontal="center" vertical="center"/>
      <protection hidden="1"/>
    </xf>
    <xf numFmtId="0" fontId="7" fillId="0" borderId="5" xfId="52" applyFont="1" applyBorder="1" applyAlignment="1" applyProtection="1">
      <alignment horizontal="center" vertical="center"/>
      <protection hidden="1"/>
    </xf>
    <xf numFmtId="0" fontId="55" fillId="12" borderId="3" xfId="52" applyFont="1" applyFill="1" applyBorder="1" applyAlignment="1" applyProtection="1">
      <alignment horizontal="center" vertical="center" wrapText="1"/>
      <protection hidden="1"/>
    </xf>
    <xf numFmtId="0" fontId="55" fillId="12" borderId="4" xfId="52" applyFont="1" applyFill="1" applyBorder="1" applyAlignment="1" applyProtection="1">
      <alignment horizontal="center" vertical="center" wrapText="1"/>
      <protection hidden="1"/>
    </xf>
    <xf numFmtId="0" fontId="55" fillId="12" borderId="5" xfId="52" applyFont="1" applyFill="1" applyBorder="1" applyAlignment="1" applyProtection="1">
      <alignment horizontal="center" vertical="center" wrapText="1"/>
      <protection hidden="1"/>
    </xf>
    <xf numFmtId="0" fontId="4" fillId="0" borderId="6" xfId="52" applyFont="1" applyBorder="1" applyAlignment="1" applyProtection="1">
      <alignment horizontal="center" vertical="center" wrapText="1"/>
      <protection hidden="1"/>
    </xf>
    <xf numFmtId="0" fontId="4" fillId="0" borderId="11" xfId="52" applyFont="1" applyBorder="1" applyAlignment="1" applyProtection="1">
      <alignment horizontal="center" vertical="center" wrapText="1"/>
      <protection hidden="1"/>
    </xf>
    <xf numFmtId="0" fontId="4" fillId="0" borderId="10" xfId="52" applyFont="1" applyBorder="1" applyAlignment="1" applyProtection="1">
      <alignment horizontal="center" vertical="center" wrapText="1"/>
      <protection hidden="1"/>
    </xf>
    <xf numFmtId="0" fontId="4" fillId="0" borderId="6" xfId="52" quotePrefix="1" applyFont="1" applyBorder="1" applyAlignment="1" applyProtection="1">
      <alignment horizontal="left" vertical="top" wrapText="1"/>
      <protection hidden="1"/>
    </xf>
    <xf numFmtId="0" fontId="4" fillId="0" borderId="11" xfId="52" applyFont="1" applyBorder="1" applyAlignment="1" applyProtection="1">
      <alignment horizontal="left" vertical="top" wrapText="1"/>
      <protection hidden="1"/>
    </xf>
    <xf numFmtId="0" fontId="4" fillId="0" borderId="10" xfId="52" applyFont="1" applyBorder="1" applyAlignment="1" applyProtection="1">
      <alignment horizontal="left" vertical="top" wrapText="1"/>
      <protection hidden="1"/>
    </xf>
    <xf numFmtId="0" fontId="4" fillId="0" borderId="6" xfId="52" applyFont="1" applyBorder="1" applyAlignment="1" applyProtection="1">
      <alignment horizontal="center" vertical="center"/>
      <protection hidden="1"/>
    </xf>
    <xf numFmtId="0" fontId="4" fillId="0" borderId="11" xfId="52" applyFont="1" applyBorder="1" applyAlignment="1" applyProtection="1">
      <alignment horizontal="center" vertical="center"/>
      <protection hidden="1"/>
    </xf>
    <xf numFmtId="0" fontId="4" fillId="0" borderId="10" xfId="52" applyFont="1" applyBorder="1" applyAlignment="1" applyProtection="1">
      <alignment horizontal="center" vertical="center"/>
      <protection hidden="1"/>
    </xf>
    <xf numFmtId="0" fontId="13" fillId="0" borderId="17" xfId="52" applyFont="1" applyBorder="1" applyAlignment="1" applyProtection="1">
      <alignment horizontal="center" wrapText="1"/>
      <protection hidden="1"/>
    </xf>
    <xf numFmtId="0" fontId="13" fillId="0" borderId="12" xfId="52" applyFont="1" applyBorder="1" applyAlignment="1" applyProtection="1">
      <alignment horizontal="center" wrapText="1"/>
      <protection hidden="1"/>
    </xf>
    <xf numFmtId="0" fontId="72" fillId="23" borderId="0" xfId="0" applyFont="1" applyFill="1" applyAlignment="1" applyProtection="1">
      <alignment horizontal="left" vertical="center" wrapText="1"/>
      <protection hidden="1"/>
    </xf>
    <xf numFmtId="0" fontId="106" fillId="23" borderId="63" xfId="0" applyFont="1" applyFill="1" applyBorder="1" applyAlignment="1" applyProtection="1">
      <alignment horizontal="left" vertical="center"/>
      <protection hidden="1"/>
    </xf>
    <xf numFmtId="0" fontId="15" fillId="0" borderId="9" xfId="0" applyFont="1" applyBorder="1" applyAlignment="1" applyProtection="1">
      <alignment horizontal="center" vertical="center" wrapText="1"/>
      <protection hidden="1"/>
    </xf>
    <xf numFmtId="0" fontId="55" fillId="23" borderId="16" xfId="52" applyFont="1" applyFill="1" applyBorder="1" applyAlignment="1" applyProtection="1">
      <alignment horizontal="center" vertical="center" wrapText="1"/>
      <protection hidden="1"/>
    </xf>
    <xf numFmtId="0" fontId="55" fillId="23" borderId="15" xfId="52" applyFont="1" applyFill="1" applyBorder="1" applyAlignment="1" applyProtection="1">
      <alignment horizontal="center" vertical="center" wrapText="1"/>
      <protection hidden="1"/>
    </xf>
    <xf numFmtId="0" fontId="55" fillId="23" borderId="14" xfId="52" applyFont="1" applyFill="1" applyBorder="1" applyAlignment="1" applyProtection="1">
      <alignment horizontal="center" vertical="center" wrapText="1"/>
      <protection hidden="1"/>
    </xf>
    <xf numFmtId="0" fontId="7" fillId="0" borderId="6" xfId="52" applyFont="1" applyBorder="1" applyAlignment="1" applyProtection="1">
      <alignment horizontal="center" vertical="center" wrapText="1"/>
      <protection hidden="1"/>
    </xf>
    <xf numFmtId="0" fontId="7" fillId="0" borderId="10" xfId="52" applyFont="1" applyBorder="1" applyAlignment="1" applyProtection="1">
      <alignment horizontal="center" vertical="center" wrapText="1"/>
      <protection hidden="1"/>
    </xf>
    <xf numFmtId="7" fontId="4" fillId="0" borderId="6" xfId="30" applyNumberFormat="1" applyFont="1" applyBorder="1" applyAlignment="1" applyProtection="1">
      <alignment horizontal="center" vertical="center"/>
      <protection hidden="1"/>
    </xf>
    <xf numFmtId="7" fontId="4" fillId="0" borderId="10" xfId="30" applyNumberFormat="1" applyFont="1" applyBorder="1" applyAlignment="1" applyProtection="1">
      <alignment horizontal="center" vertical="center"/>
      <protection hidden="1"/>
    </xf>
    <xf numFmtId="0" fontId="59" fillId="23" borderId="3" xfId="0" applyFont="1" applyFill="1" applyBorder="1" applyAlignment="1" applyProtection="1">
      <alignment horizontal="center"/>
      <protection hidden="1"/>
    </xf>
    <xf numFmtId="0" fontId="59" fillId="23" borderId="4" xfId="0" applyFont="1" applyFill="1" applyBorder="1" applyAlignment="1" applyProtection="1">
      <alignment horizontal="center"/>
      <protection hidden="1"/>
    </xf>
    <xf numFmtId="0" fontId="59" fillId="23" borderId="5" xfId="0" applyFont="1" applyFill="1" applyBorder="1" applyAlignment="1" applyProtection="1">
      <alignment horizontal="center"/>
      <protection hidden="1"/>
    </xf>
    <xf numFmtId="0" fontId="3" fillId="0" borderId="4" xfId="52" applyFont="1" applyBorder="1" applyAlignment="1" applyProtection="1">
      <alignment horizontal="left"/>
      <protection hidden="1"/>
    </xf>
    <xf numFmtId="0" fontId="3" fillId="19" borderId="9" xfId="52" applyFont="1" applyFill="1" applyBorder="1" applyAlignment="1" applyProtection="1">
      <alignment horizontal="left"/>
      <protection hidden="1"/>
    </xf>
    <xf numFmtId="173" fontId="3" fillId="0" borderId="4" xfId="52" applyNumberFormat="1" applyFont="1" applyBorder="1" applyAlignment="1" applyProtection="1">
      <alignment horizontal="left"/>
      <protection hidden="1"/>
    </xf>
    <xf numFmtId="0" fontId="3" fillId="0" borderId="9" xfId="52" applyFont="1" applyBorder="1" applyAlignment="1" applyProtection="1">
      <alignment horizontal="left"/>
      <protection hidden="1"/>
    </xf>
    <xf numFmtId="0" fontId="24" fillId="23" borderId="16" xfId="53" applyFont="1" applyFill="1" applyBorder="1" applyAlignment="1" applyProtection="1">
      <alignment horizontal="center" vertical="center" wrapText="1"/>
      <protection hidden="1"/>
    </xf>
    <xf numFmtId="0" fontId="24" fillId="23" borderId="14" xfId="53" applyFont="1" applyFill="1" applyBorder="1" applyAlignment="1" applyProtection="1">
      <alignment horizontal="center" vertical="center" wrapText="1"/>
      <protection hidden="1"/>
    </xf>
    <xf numFmtId="0" fontId="24" fillId="23" borderId="17" xfId="53" applyFont="1" applyFill="1" applyBorder="1" applyAlignment="1" applyProtection="1">
      <alignment horizontal="center" vertical="center" wrapText="1"/>
      <protection hidden="1"/>
    </xf>
    <xf numFmtId="0" fontId="24" fillId="23" borderId="12" xfId="53" applyFont="1" applyFill="1" applyBorder="1" applyAlignment="1" applyProtection="1">
      <alignment horizontal="center" vertical="center" wrapText="1"/>
      <protection hidden="1"/>
    </xf>
    <xf numFmtId="0" fontId="118" fillId="23" borderId="70" xfId="52" applyFont="1" applyFill="1" applyBorder="1" applyAlignment="1" applyProtection="1">
      <alignment horizontal="center"/>
      <protection hidden="1"/>
    </xf>
    <xf numFmtId="0" fontId="118" fillId="23" borderId="0" xfId="52" applyFont="1" applyFill="1" applyAlignment="1" applyProtection="1">
      <alignment horizontal="center"/>
      <protection hidden="1"/>
    </xf>
    <xf numFmtId="0" fontId="118" fillId="23" borderId="3" xfId="52" applyFont="1" applyFill="1" applyBorder="1" applyAlignment="1" applyProtection="1">
      <alignment horizontal="center"/>
      <protection hidden="1"/>
    </xf>
    <xf numFmtId="0" fontId="118" fillId="23" borderId="4" xfId="52" applyFont="1" applyFill="1" applyBorder="1" applyAlignment="1" applyProtection="1">
      <alignment horizontal="center"/>
      <protection hidden="1"/>
    </xf>
    <xf numFmtId="0" fontId="118" fillId="23" borderId="5" xfId="52" applyFont="1" applyFill="1" applyBorder="1" applyAlignment="1" applyProtection="1">
      <alignment horizontal="center"/>
      <protection hidden="1"/>
    </xf>
    <xf numFmtId="0" fontId="96" fillId="23" borderId="3" xfId="0" applyFont="1" applyFill="1" applyBorder="1" applyAlignment="1" applyProtection="1">
      <alignment horizontal="center"/>
      <protection hidden="1"/>
    </xf>
    <xf numFmtId="0" fontId="96" fillId="23" borderId="4" xfId="0" applyFont="1" applyFill="1" applyBorder="1" applyAlignment="1" applyProtection="1">
      <alignment horizontal="center"/>
      <protection hidden="1"/>
    </xf>
    <xf numFmtId="0" fontId="96" fillId="23" borderId="5" xfId="0" applyFont="1" applyFill="1" applyBorder="1" applyAlignment="1" applyProtection="1">
      <alignment horizontal="center"/>
      <protection hidden="1"/>
    </xf>
    <xf numFmtId="0" fontId="3" fillId="19" borderId="9" xfId="52" applyFont="1" applyFill="1" applyBorder="1" applyAlignment="1" applyProtection="1">
      <alignment horizontal="center"/>
      <protection hidden="1"/>
    </xf>
    <xf numFmtId="0" fontId="96" fillId="23" borderId="2" xfId="0" applyFont="1" applyFill="1" applyBorder="1" applyAlignment="1" applyProtection="1">
      <alignment horizontal="center"/>
      <protection hidden="1"/>
    </xf>
    <xf numFmtId="0" fontId="18" fillId="0" borderId="0" xfId="52" applyFont="1" applyAlignment="1" applyProtection="1">
      <alignment horizontal="center"/>
      <protection hidden="1"/>
    </xf>
    <xf numFmtId="0" fontId="18" fillId="0" borderId="0" xfId="52" applyFont="1" applyAlignment="1" applyProtection="1">
      <alignment horizontal="center" vertical="top"/>
      <protection hidden="1"/>
    </xf>
    <xf numFmtId="0" fontId="24" fillId="17" borderId="16" xfId="53" applyFont="1" applyFill="1" applyBorder="1" applyAlignment="1" applyProtection="1">
      <alignment horizontal="center" vertical="center" wrapText="1"/>
      <protection hidden="1"/>
    </xf>
    <xf numFmtId="0" fontId="24" fillId="17" borderId="15" xfId="53" applyFont="1" applyFill="1" applyBorder="1" applyAlignment="1" applyProtection="1">
      <alignment horizontal="center" vertical="center" wrapText="1"/>
      <protection hidden="1"/>
    </xf>
    <xf numFmtId="0" fontId="24" fillId="17" borderId="17" xfId="53" applyFont="1" applyFill="1" applyBorder="1" applyAlignment="1" applyProtection="1">
      <alignment horizontal="center" vertical="center" wrapText="1"/>
      <protection hidden="1"/>
    </xf>
    <xf numFmtId="0" fontId="24" fillId="17" borderId="9" xfId="53" applyFont="1" applyFill="1" applyBorder="1" applyAlignment="1" applyProtection="1">
      <alignment horizontal="center" vertical="center" wrapText="1"/>
      <protection hidden="1"/>
    </xf>
    <xf numFmtId="0" fontId="72" fillId="20" borderId="0" xfId="0" applyFont="1" applyFill="1" applyAlignment="1" applyProtection="1">
      <alignment vertical="center" wrapText="1"/>
      <protection hidden="1"/>
    </xf>
    <xf numFmtId="0" fontId="73" fillId="20" borderId="63" xfId="0" applyFont="1" applyFill="1" applyBorder="1" applyAlignment="1" applyProtection="1">
      <alignment vertical="center"/>
      <protection hidden="1"/>
    </xf>
    <xf numFmtId="0" fontId="59" fillId="12" borderId="3" xfId="0" applyFont="1" applyFill="1" applyBorder="1" applyAlignment="1" applyProtection="1">
      <alignment horizontal="center"/>
      <protection hidden="1"/>
    </xf>
    <xf numFmtId="0" fontId="59" fillId="12" borderId="4" xfId="0" applyFont="1" applyFill="1" applyBorder="1" applyAlignment="1" applyProtection="1">
      <alignment horizontal="center"/>
      <protection hidden="1"/>
    </xf>
    <xf numFmtId="0" fontId="59" fillId="12" borderId="3" xfId="0" applyFont="1" applyFill="1" applyBorder="1" applyAlignment="1" applyProtection="1">
      <alignment horizontal="center" vertical="center" wrapText="1"/>
      <protection hidden="1"/>
    </xf>
    <xf numFmtId="0" fontId="59" fillId="12" borderId="5" xfId="0" applyFont="1" applyFill="1" applyBorder="1" applyAlignment="1" applyProtection="1">
      <alignment horizontal="center" vertical="center" wrapText="1"/>
      <protection hidden="1"/>
    </xf>
    <xf numFmtId="0" fontId="59" fillId="12" borderId="2" xfId="0" applyFont="1" applyFill="1" applyBorder="1" applyAlignment="1" applyProtection="1">
      <alignment horizontal="center" vertical="center" wrapText="1"/>
      <protection hidden="1"/>
    </xf>
    <xf numFmtId="0" fontId="7" fillId="3" borderId="3" xfId="0" applyFont="1" applyFill="1" applyBorder="1" applyAlignment="1" applyProtection="1">
      <alignment horizontal="center"/>
      <protection hidden="1"/>
    </xf>
    <xf numFmtId="0" fontId="7" fillId="3" borderId="5" xfId="0" applyFont="1" applyFill="1" applyBorder="1" applyAlignment="1" applyProtection="1">
      <alignment horizontal="center"/>
      <protection hidden="1"/>
    </xf>
    <xf numFmtId="0" fontId="59" fillId="12" borderId="2" xfId="0" applyFont="1" applyFill="1" applyBorder="1" applyAlignment="1" applyProtection="1">
      <alignment horizontal="center" wrapText="1"/>
      <protection hidden="1"/>
    </xf>
    <xf numFmtId="0" fontId="59" fillId="12" borderId="5" xfId="0" applyFont="1" applyFill="1" applyBorder="1" applyAlignment="1" applyProtection="1">
      <alignment horizontal="center"/>
      <protection hidden="1"/>
    </xf>
    <xf numFmtId="0" fontId="7" fillId="10" borderId="3" xfId="0" applyFont="1" applyFill="1" applyBorder="1" applyAlignment="1" applyProtection="1">
      <alignment horizontal="center"/>
      <protection locked="0"/>
    </xf>
    <xf numFmtId="0" fontId="7" fillId="10" borderId="5" xfId="0" applyFont="1" applyFill="1" applyBorder="1" applyAlignment="1" applyProtection="1">
      <alignment horizontal="center"/>
      <protection locked="0"/>
    </xf>
    <xf numFmtId="0" fontId="7" fillId="3" borderId="2" xfId="0" applyFont="1" applyFill="1" applyBorder="1" applyAlignment="1" applyProtection="1">
      <alignment horizontal="center"/>
      <protection hidden="1"/>
    </xf>
    <xf numFmtId="0" fontId="7" fillId="10" borderId="2" xfId="0" applyFont="1" applyFill="1" applyBorder="1" applyAlignment="1" applyProtection="1">
      <alignment horizontal="center"/>
      <protection locked="0"/>
    </xf>
    <xf numFmtId="44" fontId="7" fillId="19" borderId="3" xfId="0" applyNumberFormat="1" applyFont="1" applyFill="1" applyBorder="1" applyAlignment="1" applyProtection="1">
      <alignment horizontal="center"/>
      <protection locked="0"/>
    </xf>
    <xf numFmtId="44" fontId="7" fillId="19" borderId="5" xfId="0" applyNumberFormat="1" applyFont="1" applyFill="1" applyBorder="1" applyAlignment="1" applyProtection="1">
      <alignment horizontal="center"/>
      <protection locked="0"/>
    </xf>
    <xf numFmtId="0" fontId="50" fillId="10" borderId="3" xfId="0" applyFont="1" applyFill="1" applyBorder="1" applyProtection="1">
      <protection locked="0"/>
    </xf>
    <xf numFmtId="0" fontId="50" fillId="10" borderId="4" xfId="0" applyFont="1" applyFill="1" applyBorder="1" applyProtection="1">
      <protection locked="0"/>
    </xf>
    <xf numFmtId="0" fontId="50" fillId="10" borderId="5" xfId="0" applyFont="1" applyFill="1" applyBorder="1" applyProtection="1">
      <protection locked="0"/>
    </xf>
    <xf numFmtId="0" fontId="51" fillId="0" borderId="3" xfId="0" applyFont="1" applyBorder="1" applyAlignment="1" applyProtection="1">
      <alignment horizontal="center"/>
      <protection hidden="1"/>
    </xf>
    <xf numFmtId="0" fontId="51" fillId="0" borderId="4" xfId="0" applyFont="1" applyBorder="1" applyAlignment="1" applyProtection="1">
      <alignment horizontal="center"/>
      <protection hidden="1"/>
    </xf>
    <xf numFmtId="0" fontId="51" fillId="0" borderId="5" xfId="0" applyFont="1" applyBorder="1" applyAlignment="1" applyProtection="1">
      <alignment horizontal="center"/>
      <protection hidden="1"/>
    </xf>
    <xf numFmtId="0" fontId="50" fillId="10" borderId="9" xfId="0" applyFont="1" applyFill="1" applyBorder="1" applyAlignment="1" applyProtection="1">
      <alignment horizontal="center"/>
      <protection locked="0"/>
    </xf>
    <xf numFmtId="0" fontId="50" fillId="10" borderId="9" xfId="0" applyFont="1" applyFill="1" applyBorder="1" applyProtection="1">
      <protection locked="0"/>
    </xf>
    <xf numFmtId="0" fontId="50" fillId="0" borderId="9" xfId="0" applyFont="1" applyBorder="1" applyAlignment="1" applyProtection="1">
      <alignment horizontal="left"/>
      <protection hidden="1"/>
    </xf>
    <xf numFmtId="0" fontId="28" fillId="12" borderId="3" xfId="0" applyFont="1" applyFill="1" applyBorder="1" applyAlignment="1" applyProtection="1">
      <alignment horizontal="center" vertical="center" wrapText="1"/>
      <protection hidden="1"/>
    </xf>
    <xf numFmtId="0" fontId="28" fillId="12" borderId="5" xfId="0" applyFont="1" applyFill="1" applyBorder="1" applyAlignment="1" applyProtection="1">
      <alignment horizontal="center" vertical="center" wrapText="1"/>
      <protection hidden="1"/>
    </xf>
    <xf numFmtId="0" fontId="28" fillId="12" borderId="4" xfId="0" applyFont="1" applyFill="1" applyBorder="1" applyAlignment="1" applyProtection="1">
      <alignment horizontal="center" vertical="center" wrapText="1"/>
      <protection hidden="1"/>
    </xf>
    <xf numFmtId="0" fontId="50" fillId="0" borderId="3" xfId="0" applyFont="1" applyBorder="1" applyProtection="1">
      <protection hidden="1"/>
    </xf>
    <xf numFmtId="0" fontId="50" fillId="0" borderId="5" xfId="0" applyFont="1" applyBorder="1" applyProtection="1">
      <protection hidden="1"/>
    </xf>
    <xf numFmtId="0" fontId="50" fillId="10" borderId="3" xfId="0" applyFont="1" applyFill="1" applyBorder="1" applyAlignment="1" applyProtection="1">
      <alignment horizontal="center"/>
      <protection locked="0"/>
    </xf>
    <xf numFmtId="0" fontId="50" fillId="10" borderId="4" xfId="0" applyFont="1" applyFill="1" applyBorder="1" applyAlignment="1" applyProtection="1">
      <alignment horizontal="center"/>
      <protection locked="0"/>
    </xf>
    <xf numFmtId="0" fontId="50" fillId="10" borderId="5" xfId="0" applyFont="1" applyFill="1" applyBorder="1" applyAlignment="1" applyProtection="1">
      <alignment horizontal="center"/>
      <protection locked="0"/>
    </xf>
    <xf numFmtId="0" fontId="50" fillId="10" borderId="3" xfId="0" applyFont="1" applyFill="1" applyBorder="1" applyAlignment="1">
      <alignment horizontal="center"/>
    </xf>
    <xf numFmtId="0" fontId="50" fillId="10" borderId="5" xfId="0" applyFont="1" applyFill="1" applyBorder="1" applyAlignment="1">
      <alignment horizontal="center"/>
    </xf>
    <xf numFmtId="0" fontId="58" fillId="3" borderId="70" xfId="0" applyFont="1" applyFill="1" applyBorder="1" applyAlignment="1" applyProtection="1">
      <alignment horizontal="center"/>
      <protection hidden="1"/>
    </xf>
    <xf numFmtId="0" fontId="58" fillId="3" borderId="0" xfId="0" applyFont="1" applyFill="1" applyAlignment="1" applyProtection="1">
      <alignment horizontal="center"/>
      <protection hidden="1"/>
    </xf>
    <xf numFmtId="0" fontId="58" fillId="3" borderId="13" xfId="0" applyFont="1" applyFill="1" applyBorder="1" applyAlignment="1" applyProtection="1">
      <alignment horizontal="center"/>
      <protection hidden="1"/>
    </xf>
    <xf numFmtId="0" fontId="58" fillId="3" borderId="17" xfId="0" applyFont="1" applyFill="1" applyBorder="1" applyAlignment="1" applyProtection="1">
      <alignment horizontal="center"/>
      <protection hidden="1"/>
    </xf>
    <xf numFmtId="0" fontId="58" fillId="3" borderId="9" xfId="0" applyFont="1" applyFill="1" applyBorder="1" applyAlignment="1" applyProtection="1">
      <alignment horizontal="center"/>
      <protection hidden="1"/>
    </xf>
    <xf numFmtId="0" fontId="59" fillId="3" borderId="3" xfId="0" applyFont="1" applyFill="1" applyBorder="1" applyAlignment="1" applyProtection="1">
      <alignment horizontal="center"/>
      <protection hidden="1"/>
    </xf>
    <xf numFmtId="0" fontId="59" fillId="3" borderId="5" xfId="0" applyFont="1" applyFill="1" applyBorder="1" applyAlignment="1" applyProtection="1">
      <alignment horizontal="center"/>
      <protection hidden="1"/>
    </xf>
    <xf numFmtId="0" fontId="60" fillId="3" borderId="2" xfId="0" applyFont="1" applyFill="1" applyBorder="1" applyAlignment="1" applyProtection="1">
      <alignment horizontal="center" vertical="center"/>
      <protection hidden="1"/>
    </xf>
    <xf numFmtId="0" fontId="59" fillId="3" borderId="2" xfId="0" applyFont="1" applyFill="1" applyBorder="1" applyAlignment="1" applyProtection="1">
      <alignment horizontal="center" vertical="center" wrapText="1"/>
      <protection hidden="1"/>
    </xf>
    <xf numFmtId="0" fontId="58" fillId="3" borderId="17" xfId="0" applyFont="1" applyFill="1" applyBorder="1" applyAlignment="1" applyProtection="1">
      <alignment horizontal="center" vertical="center" wrapText="1"/>
      <protection hidden="1"/>
    </xf>
    <xf numFmtId="0" fontId="58" fillId="3" borderId="9" xfId="0" applyFont="1" applyFill="1" applyBorder="1" applyAlignment="1" applyProtection="1">
      <alignment horizontal="center" vertical="center" wrapText="1"/>
      <protection hidden="1"/>
    </xf>
    <xf numFmtId="0" fontId="58" fillId="3" borderId="12" xfId="0" applyFont="1" applyFill="1" applyBorder="1" applyAlignment="1" applyProtection="1">
      <alignment horizontal="center" vertical="center" wrapText="1"/>
      <protection hidden="1"/>
    </xf>
    <xf numFmtId="0" fontId="58" fillId="22" borderId="7" xfId="0" applyFont="1" applyFill="1" applyBorder="1" applyAlignment="1" applyProtection="1">
      <alignment horizontal="center" vertical="center" wrapText="1"/>
      <protection hidden="1"/>
    </xf>
    <xf numFmtId="0" fontId="58" fillId="22" borderId="0" xfId="0" applyFont="1" applyFill="1" applyAlignment="1" applyProtection="1">
      <alignment horizontal="center" vertical="center" wrapText="1"/>
      <protection hidden="1"/>
    </xf>
    <xf numFmtId="0" fontId="58" fillId="3" borderId="9" xfId="0" applyFont="1" applyFill="1" applyBorder="1" applyAlignment="1" applyProtection="1">
      <alignment horizontal="center" vertical="center"/>
      <protection hidden="1"/>
    </xf>
    <xf numFmtId="0" fontId="60" fillId="3" borderId="15" xfId="0" applyFont="1" applyFill="1" applyBorder="1" applyAlignment="1" applyProtection="1">
      <alignment horizontal="center" wrapText="1"/>
      <protection hidden="1"/>
    </xf>
    <xf numFmtId="0" fontId="60" fillId="3" borderId="9" xfId="0" applyFont="1" applyFill="1" applyBorder="1" applyAlignment="1" applyProtection="1">
      <alignment horizontal="center" wrapText="1"/>
      <protection hidden="1"/>
    </xf>
    <xf numFmtId="0" fontId="59" fillId="3" borderId="15" xfId="0" applyFont="1" applyFill="1" applyBorder="1" applyAlignment="1" applyProtection="1">
      <alignment horizontal="center" wrapText="1"/>
      <protection hidden="1"/>
    </xf>
    <xf numFmtId="0" fontId="59" fillId="3" borderId="9" xfId="0" applyFont="1" applyFill="1" applyBorder="1" applyAlignment="1" applyProtection="1">
      <alignment horizontal="center" wrapText="1"/>
      <protection hidden="1"/>
    </xf>
    <xf numFmtId="0" fontId="59" fillId="3" borderId="3" xfId="0" applyFont="1" applyFill="1" applyBorder="1" applyAlignment="1" applyProtection="1">
      <alignment horizontal="center" vertical="center"/>
      <protection hidden="1"/>
    </xf>
    <xf numFmtId="0" fontId="59" fillId="3" borderId="4" xfId="0" applyFont="1" applyFill="1" applyBorder="1" applyAlignment="1" applyProtection="1">
      <alignment horizontal="center" vertical="center"/>
      <protection hidden="1"/>
    </xf>
    <xf numFmtId="0" fontId="59" fillId="3" borderId="5" xfId="0" applyFont="1" applyFill="1" applyBorder="1" applyAlignment="1" applyProtection="1">
      <alignment horizontal="center" vertical="center"/>
      <protection hidden="1"/>
    </xf>
    <xf numFmtId="0" fontId="60" fillId="3" borderId="2" xfId="0" applyFont="1" applyFill="1" applyBorder="1" applyAlignment="1" applyProtection="1">
      <alignment horizontal="center" vertical="center" wrapText="1"/>
      <protection hidden="1"/>
    </xf>
    <xf numFmtId="0" fontId="61" fillId="3" borderId="3" xfId="0" applyFont="1" applyFill="1" applyBorder="1" applyAlignment="1" applyProtection="1">
      <alignment horizontal="center"/>
      <protection hidden="1"/>
    </xf>
    <xf numFmtId="0" fontId="61" fillId="3" borderId="4" xfId="0" applyFont="1" applyFill="1" applyBorder="1" applyAlignment="1" applyProtection="1">
      <alignment horizontal="center"/>
      <protection hidden="1"/>
    </xf>
    <xf numFmtId="0" fontId="61" fillId="3" borderId="5" xfId="0" applyFont="1" applyFill="1" applyBorder="1" applyAlignment="1" applyProtection="1">
      <alignment horizontal="center"/>
      <protection hidden="1"/>
    </xf>
    <xf numFmtId="0" fontId="66" fillId="18" borderId="0" xfId="0" applyFont="1" applyFill="1" applyAlignment="1">
      <alignment horizontal="left" vertical="center" wrapText="1"/>
    </xf>
    <xf numFmtId="0" fontId="67" fillId="18" borderId="0" xfId="0" applyFont="1" applyFill="1" applyAlignment="1">
      <alignment horizontal="left" vertical="center"/>
    </xf>
    <xf numFmtId="0" fontId="4" fillId="0" borderId="2" xfId="52" applyFont="1" applyBorder="1" applyAlignment="1">
      <alignment horizontal="center" vertical="center" wrapText="1"/>
    </xf>
    <xf numFmtId="0" fontId="55" fillId="0" borderId="45" xfId="52" applyFont="1" applyBorder="1" applyAlignment="1">
      <alignment horizontal="center" vertical="center" wrapText="1"/>
    </xf>
    <xf numFmtId="0" fontId="55" fillId="0" borderId="43" xfId="52" applyFont="1" applyBorder="1" applyAlignment="1">
      <alignment horizontal="center" vertical="center" wrapText="1"/>
    </xf>
    <xf numFmtId="0" fontId="55" fillId="0" borderId="44" xfId="52" applyFont="1" applyBorder="1" applyAlignment="1">
      <alignment horizontal="center" vertical="center" wrapText="1"/>
    </xf>
    <xf numFmtId="0" fontId="55" fillId="5" borderId="29" xfId="52" applyFont="1" applyFill="1" applyBorder="1" applyAlignment="1">
      <alignment horizontal="center" vertical="center" wrapText="1"/>
    </xf>
    <xf numFmtId="0" fontId="55" fillId="5" borderId="30" xfId="52" applyFont="1" applyFill="1" applyBorder="1" applyAlignment="1">
      <alignment horizontal="center" vertical="center" wrapText="1"/>
    </xf>
    <xf numFmtId="0" fontId="55" fillId="5" borderId="31" xfId="52" applyFont="1" applyFill="1" applyBorder="1" applyAlignment="1">
      <alignment horizontal="center" vertical="center" wrapText="1"/>
    </xf>
    <xf numFmtId="0" fontId="55" fillId="5" borderId="45" xfId="52" applyFont="1" applyFill="1" applyBorder="1" applyAlignment="1">
      <alignment horizontal="center" vertical="center" wrapText="1"/>
    </xf>
    <xf numFmtId="0" fontId="55" fillId="5" borderId="43" xfId="52" applyFont="1" applyFill="1" applyBorder="1" applyAlignment="1">
      <alignment horizontal="center" vertical="center" wrapText="1"/>
    </xf>
    <xf numFmtId="0" fontId="55" fillId="5" borderId="44" xfId="52" applyFont="1" applyFill="1" applyBorder="1" applyAlignment="1">
      <alignment horizontal="center" vertical="center" wrapText="1"/>
    </xf>
    <xf numFmtId="0" fontId="8" fillId="0" borderId="0" xfId="52" applyFont="1" applyAlignment="1">
      <alignment horizontal="left" vertical="center" wrapText="1"/>
    </xf>
    <xf numFmtId="0" fontId="55" fillId="5" borderId="45" xfId="52" applyFont="1" applyFill="1" applyBorder="1" applyAlignment="1">
      <alignment horizontal="left" vertical="center" wrapText="1"/>
    </xf>
    <xf numFmtId="0" fontId="55" fillId="5" borderId="43" xfId="52" applyFont="1" applyFill="1" applyBorder="1" applyAlignment="1">
      <alignment horizontal="left" vertical="center" wrapText="1"/>
    </xf>
    <xf numFmtId="0" fontId="55" fillId="5" borderId="44" xfId="52" applyFont="1" applyFill="1" applyBorder="1" applyAlignment="1">
      <alignment horizontal="left" vertical="center" wrapText="1"/>
    </xf>
    <xf numFmtId="0" fontId="55" fillId="0" borderId="46" xfId="52" applyFont="1" applyBorder="1" applyAlignment="1">
      <alignment horizontal="center" vertical="center" wrapText="1"/>
    </xf>
    <xf numFmtId="0" fontId="55" fillId="0" borderId="41" xfId="52" applyFont="1" applyBorder="1" applyAlignment="1">
      <alignment horizontal="center" vertical="center" wrapText="1"/>
    </xf>
    <xf numFmtId="0" fontId="55" fillId="0" borderId="42" xfId="52" applyFont="1" applyBorder="1" applyAlignment="1">
      <alignment horizontal="center" vertical="center" wrapText="1"/>
    </xf>
    <xf numFmtId="0" fontId="4" fillId="0" borderId="24" xfId="52" applyFont="1" applyBorder="1" applyAlignment="1">
      <alignment horizontal="center" vertical="center" wrapText="1"/>
    </xf>
    <xf numFmtId="0" fontId="4" fillId="0" borderId="32" xfId="52" applyFont="1" applyBorder="1" applyAlignment="1">
      <alignment horizontal="center" vertical="center" wrapText="1"/>
    </xf>
    <xf numFmtId="0" fontId="4" fillId="0" borderId="33" xfId="52" applyFont="1" applyBorder="1" applyAlignment="1">
      <alignment horizontal="center" vertical="center" wrapText="1"/>
    </xf>
    <xf numFmtId="0" fontId="4" fillId="0" borderId="34" xfId="52" applyFont="1" applyBorder="1" applyAlignment="1">
      <alignment horizontal="center" vertical="center" wrapText="1"/>
    </xf>
    <xf numFmtId="0" fontId="18" fillId="0" borderId="46" xfId="52" applyFont="1" applyBorder="1" applyAlignment="1">
      <alignment horizontal="center" vertical="center" wrapText="1"/>
    </xf>
    <xf numFmtId="0" fontId="18" fillId="0" borderId="41" xfId="52" applyFont="1" applyBorder="1" applyAlignment="1">
      <alignment horizontal="center" vertical="center" wrapText="1"/>
    </xf>
    <xf numFmtId="0" fontId="18" fillId="0" borderId="42" xfId="52" applyFont="1" applyBorder="1" applyAlignment="1">
      <alignment horizontal="center" vertical="center" wrapText="1"/>
    </xf>
    <xf numFmtId="0" fontId="4" fillId="0" borderId="21" xfId="52" applyFont="1" applyBorder="1" applyAlignment="1">
      <alignment horizontal="center" vertical="center" wrapText="1"/>
    </xf>
    <xf numFmtId="0" fontId="4" fillId="0" borderId="2" xfId="52" applyFont="1" applyBorder="1" applyAlignment="1">
      <alignment horizontal="center" vertical="center"/>
    </xf>
    <xf numFmtId="0" fontId="18" fillId="0" borderId="20" xfId="52" applyFont="1" applyBorder="1" applyAlignment="1">
      <alignment horizontal="center" vertical="center" wrapText="1"/>
    </xf>
    <xf numFmtId="0" fontId="18" fillId="0" borderId="18" xfId="52" applyFont="1" applyBorder="1" applyAlignment="1">
      <alignment horizontal="center" vertical="center" wrapText="1"/>
    </xf>
    <xf numFmtId="0" fontId="18" fillId="0" borderId="19" xfId="52" applyFont="1" applyBorder="1" applyAlignment="1">
      <alignment horizontal="center" vertical="center" wrapText="1"/>
    </xf>
    <xf numFmtId="0" fontId="4" fillId="0" borderId="29" xfId="52" applyFont="1" applyBorder="1" applyAlignment="1">
      <alignment horizontal="center" vertical="center" wrapText="1"/>
    </xf>
    <xf numFmtId="0" fontId="4" fillId="0" borderId="47" xfId="52" applyFont="1" applyBorder="1" applyAlignment="1">
      <alignment horizontal="center" vertical="center" wrapText="1"/>
    </xf>
    <xf numFmtId="0" fontId="4" fillId="0" borderId="46" xfId="52" applyFont="1" applyBorder="1" applyAlignment="1">
      <alignment horizontal="center" vertical="center" wrapText="1"/>
    </xf>
    <xf numFmtId="0" fontId="58" fillId="3" borderId="3" xfId="0" applyFont="1" applyFill="1" applyBorder="1" applyAlignment="1" applyProtection="1">
      <alignment horizontal="left"/>
      <protection hidden="1"/>
    </xf>
    <xf numFmtId="0" fontId="58" fillId="3" borderId="4" xfId="0" applyFont="1" applyFill="1" applyBorder="1" applyAlignment="1" applyProtection="1">
      <alignment horizontal="left"/>
      <protection hidden="1"/>
    </xf>
    <xf numFmtId="0" fontId="58" fillId="3" borderId="5" xfId="0" applyFont="1" applyFill="1" applyBorder="1" applyAlignment="1" applyProtection="1">
      <alignment horizontal="left"/>
      <protection hidden="1"/>
    </xf>
    <xf numFmtId="0" fontId="48" fillId="0" borderId="3" xfId="0" applyFont="1" applyBorder="1" applyAlignment="1" applyProtection="1">
      <alignment horizontal="center"/>
      <protection hidden="1"/>
    </xf>
    <xf numFmtId="0" fontId="48" fillId="0" borderId="4" xfId="0" applyFont="1" applyBorder="1" applyAlignment="1" applyProtection="1">
      <alignment horizontal="center"/>
      <protection hidden="1"/>
    </xf>
    <xf numFmtId="0" fontId="48" fillId="0" borderId="5" xfId="0" applyFont="1" applyBorder="1" applyAlignment="1" applyProtection="1">
      <alignment horizontal="center"/>
      <protection hidden="1"/>
    </xf>
    <xf numFmtId="0" fontId="48" fillId="0" borderId="3" xfId="0" applyFont="1" applyBorder="1" applyAlignment="1">
      <alignment horizontal="center"/>
    </xf>
    <xf numFmtId="0" fontId="48" fillId="0" borderId="4" xfId="0" applyFont="1" applyBorder="1" applyAlignment="1">
      <alignment horizontal="center"/>
    </xf>
    <xf numFmtId="0" fontId="48" fillId="0" borderId="5" xfId="0" applyFont="1" applyBorder="1" applyAlignment="1">
      <alignment horizontal="center"/>
    </xf>
    <xf numFmtId="0" fontId="46" fillId="0" borderId="48" xfId="0" applyFont="1" applyBorder="1" applyAlignment="1">
      <alignment horizontal="center" vertical="center" wrapText="1"/>
    </xf>
    <xf numFmtId="0" fontId="46" fillId="0" borderId="49" xfId="0" applyFont="1" applyBorder="1" applyAlignment="1">
      <alignment horizontal="center" vertical="center" wrapText="1"/>
    </xf>
    <xf numFmtId="0" fontId="46" fillId="0" borderId="50" xfId="0" applyFont="1" applyBorder="1" applyAlignment="1">
      <alignment horizontal="center" vertical="center" wrapText="1"/>
    </xf>
    <xf numFmtId="0" fontId="4" fillId="0" borderId="31" xfId="52" applyFont="1" applyBorder="1" applyAlignment="1">
      <alignment horizontal="center" vertical="center" wrapText="1"/>
    </xf>
    <xf numFmtId="0" fontId="4" fillId="0" borderId="42" xfId="52" applyFont="1" applyBorder="1" applyAlignment="1">
      <alignment horizontal="center" vertical="center" wrapText="1"/>
    </xf>
    <xf numFmtId="0" fontId="46" fillId="0" borderId="35" xfId="0" applyFont="1" applyBorder="1" applyAlignment="1">
      <alignment horizontal="center" wrapText="1"/>
    </xf>
    <xf numFmtId="0" fontId="46" fillId="0" borderId="51" xfId="0" applyFont="1" applyBorder="1" applyAlignment="1">
      <alignment horizontal="center" wrapText="1"/>
    </xf>
    <xf numFmtId="0" fontId="4" fillId="0" borderId="34" xfId="52"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center" vertical="center"/>
    </xf>
    <xf numFmtId="0" fontId="4" fillId="0" borderId="54" xfId="52" applyFont="1" applyBorder="1" applyAlignment="1">
      <alignment horizontal="center" vertical="center" wrapText="1"/>
    </xf>
    <xf numFmtId="0" fontId="4" fillId="0" borderId="55" xfId="52" applyFont="1" applyBorder="1" applyAlignment="1">
      <alignment horizontal="center" vertical="center" wrapText="1"/>
    </xf>
    <xf numFmtId="0" fontId="4" fillId="0" borderId="56" xfId="52" applyFont="1" applyBorder="1" applyAlignment="1">
      <alignment horizontal="center" vertical="center" wrapText="1"/>
    </xf>
    <xf numFmtId="0" fontId="4" fillId="0" borderId="57" xfId="52" applyFont="1" applyBorder="1" applyAlignment="1">
      <alignment horizontal="center" vertical="center" wrapText="1"/>
    </xf>
  </cellXfs>
  <cellStyles count="69">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3" xfId="7" xr:uid="{00000000-0005-0000-0000-000006000000}"/>
    <cellStyle name="Comma 10 4" xfId="8" xr:uid="{00000000-0005-0000-0000-000007000000}"/>
    <cellStyle name="Comma 11" xfId="9" xr:uid="{00000000-0005-0000-0000-000008000000}"/>
    <cellStyle name="Comma 11 2" xfId="10" xr:uid="{00000000-0005-0000-0000-000009000000}"/>
    <cellStyle name="Comma 11 2 2" xfId="11" xr:uid="{00000000-0005-0000-0000-00000A000000}"/>
    <cellStyle name="Comma 11 3" xfId="12" xr:uid="{00000000-0005-0000-0000-00000B000000}"/>
    <cellStyle name="Comma 11 4" xfId="13" xr:uid="{00000000-0005-0000-0000-00000C000000}"/>
    <cellStyle name="Comma 12" xfId="14" xr:uid="{00000000-0005-0000-0000-00000D000000}"/>
    <cellStyle name="Comma 12 2" xfId="15" xr:uid="{00000000-0005-0000-0000-00000E000000}"/>
    <cellStyle name="Comma 12 2 2" xfId="16" xr:uid="{00000000-0005-0000-0000-00000F000000}"/>
    <cellStyle name="Comma 12 3" xfId="17" xr:uid="{00000000-0005-0000-0000-000010000000}"/>
    <cellStyle name="Comma 12 4" xfId="18" xr:uid="{00000000-0005-0000-0000-000011000000}"/>
    <cellStyle name="Comma 13" xfId="19" xr:uid="{00000000-0005-0000-0000-000012000000}"/>
    <cellStyle name="Comma 2" xfId="20" xr:uid="{00000000-0005-0000-0000-000013000000}"/>
    <cellStyle name="Comma 3" xfId="21" xr:uid="{00000000-0005-0000-0000-000014000000}"/>
    <cellStyle name="Comma 4" xfId="22" xr:uid="{00000000-0005-0000-0000-000015000000}"/>
    <cellStyle name="Comma 5" xfId="23" xr:uid="{00000000-0005-0000-0000-000016000000}"/>
    <cellStyle name="Comma 6" xfId="24" xr:uid="{00000000-0005-0000-0000-000017000000}"/>
    <cellStyle name="Comma 7" xfId="25" xr:uid="{00000000-0005-0000-0000-000018000000}"/>
    <cellStyle name="Comma 8" xfId="26" xr:uid="{00000000-0005-0000-0000-000019000000}"/>
    <cellStyle name="Comma 9" xfId="27" xr:uid="{00000000-0005-0000-0000-00001A000000}"/>
    <cellStyle name="Comma 9 2" xfId="28" xr:uid="{00000000-0005-0000-0000-00001B000000}"/>
    <cellStyle name="Currency" xfId="29" builtinId="4"/>
    <cellStyle name="Currency 2" xfId="30" xr:uid="{00000000-0005-0000-0000-00001D000000}"/>
    <cellStyle name="Currency 2 2" xfId="31" xr:uid="{00000000-0005-0000-0000-00001E000000}"/>
    <cellStyle name="Currency 3" xfId="32" xr:uid="{00000000-0005-0000-0000-00001F000000}"/>
    <cellStyle name="Currency 3 2" xfId="33" xr:uid="{00000000-0005-0000-0000-000020000000}"/>
    <cellStyle name="Currency 3 2 2" xfId="34" xr:uid="{00000000-0005-0000-0000-000021000000}"/>
    <cellStyle name="Currency 3 3" xfId="35" xr:uid="{00000000-0005-0000-0000-000022000000}"/>
    <cellStyle name="Currency 3 4" xfId="36" xr:uid="{00000000-0005-0000-0000-000023000000}"/>
    <cellStyle name="Currency 4" xfId="37" xr:uid="{00000000-0005-0000-0000-000024000000}"/>
    <cellStyle name="Currency 4 2" xfId="38" xr:uid="{00000000-0005-0000-0000-000025000000}"/>
    <cellStyle name="Currency 4 2 2" xfId="39" xr:uid="{00000000-0005-0000-0000-000026000000}"/>
    <cellStyle name="Currency 4 3" xfId="40" xr:uid="{00000000-0005-0000-0000-000027000000}"/>
    <cellStyle name="Currency 4 4" xfId="41" xr:uid="{00000000-0005-0000-0000-000028000000}"/>
    <cellStyle name="Currency 5" xfId="42" xr:uid="{00000000-0005-0000-0000-000029000000}"/>
    <cellStyle name="Currency 5 2" xfId="43" xr:uid="{00000000-0005-0000-0000-00002A000000}"/>
    <cellStyle name="Currency 5 2 2" xfId="44" xr:uid="{00000000-0005-0000-0000-00002B000000}"/>
    <cellStyle name="Currency 5 2 3" xfId="45" xr:uid="{00000000-0005-0000-0000-00002C000000}"/>
    <cellStyle name="Currency 5 3" xfId="46" xr:uid="{00000000-0005-0000-0000-00002D000000}"/>
    <cellStyle name="Currency 5 4" xfId="47" xr:uid="{00000000-0005-0000-0000-00002E000000}"/>
    <cellStyle name="Currency 6" xfId="48" xr:uid="{00000000-0005-0000-0000-00002F000000}"/>
    <cellStyle name="Hyperlink" xfId="49" builtinId="8"/>
    <cellStyle name="Hyperlink 2" xfId="50" xr:uid="{00000000-0005-0000-0000-000031000000}"/>
    <cellStyle name="Hyperlink 3" xfId="51" xr:uid="{00000000-0005-0000-0000-000032000000}"/>
    <cellStyle name="Normal" xfId="0" builtinId="0"/>
    <cellStyle name="Normal 2" xfId="52" xr:uid="{00000000-0005-0000-0000-000034000000}"/>
    <cellStyle name="Normal 2 2" xfId="53" xr:uid="{00000000-0005-0000-0000-000035000000}"/>
    <cellStyle name="Normal 2 3" xfId="54" xr:uid="{00000000-0005-0000-0000-000036000000}"/>
    <cellStyle name="Normal 2_Wattage Table" xfId="55" xr:uid="{00000000-0005-0000-0000-000037000000}"/>
    <cellStyle name="Normal 3" xfId="56" xr:uid="{00000000-0005-0000-0000-000038000000}"/>
    <cellStyle name="Normal_Fin02-Comm" xfId="57" xr:uid="{00000000-0005-0000-0000-000039000000}"/>
    <cellStyle name="Normal_Lighting" xfId="58" xr:uid="{00000000-0005-0000-0000-00003A000000}"/>
    <cellStyle name="Normal_Lookup" xfId="59" xr:uid="{00000000-0005-0000-0000-00003B000000}"/>
    <cellStyle name="Percent" xfId="60" builtinId="5"/>
    <cellStyle name="Percent 2" xfId="61" xr:uid="{00000000-0005-0000-0000-00003D000000}"/>
    <cellStyle name="Percent 3" xfId="62" xr:uid="{00000000-0005-0000-0000-00003E000000}"/>
    <cellStyle name="Percent 4" xfId="63" xr:uid="{00000000-0005-0000-0000-00003F000000}"/>
    <cellStyle name="Percent 5" xfId="64" xr:uid="{00000000-0005-0000-0000-000040000000}"/>
    <cellStyle name="Percent 6" xfId="65" xr:uid="{00000000-0005-0000-0000-000041000000}"/>
    <cellStyle name="Percent 7" xfId="66" xr:uid="{00000000-0005-0000-0000-000042000000}"/>
    <cellStyle name="Percent 8" xfId="67" xr:uid="{00000000-0005-0000-0000-000043000000}"/>
    <cellStyle name="Percent 9" xfId="68" xr:uid="{00000000-0005-0000-0000-000044000000}"/>
  </cellStyles>
  <dxfs count="42">
    <dxf>
      <font>
        <color rgb="FFFF0000"/>
      </font>
    </dxf>
    <dxf>
      <font>
        <color rgb="FFFF0000"/>
      </font>
    </dxf>
    <dxf>
      <font>
        <color rgb="FFFF0000"/>
      </font>
    </dxf>
    <dxf>
      <font>
        <color rgb="FFFF0000"/>
      </font>
    </dxf>
    <dxf>
      <font>
        <b/>
        <i val="0"/>
        <color theme="3"/>
      </font>
    </dxf>
    <dxf>
      <font>
        <b/>
        <i val="0"/>
        <color theme="3"/>
      </font>
    </dxf>
    <dxf>
      <font>
        <color rgb="FFFF0000"/>
        <name val="Cambria"/>
        <scheme val="none"/>
      </font>
      <fill>
        <patternFill>
          <bgColor rgb="FFFFFF00"/>
        </patternFill>
      </fill>
    </dxf>
    <dxf>
      <font>
        <color rgb="FFFF0000"/>
      </font>
    </dxf>
    <dxf>
      <font>
        <color rgb="FFFF0000"/>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FF0000"/>
      </font>
      <fill>
        <patternFill>
          <bgColor rgb="FFFFFF00"/>
        </patternFill>
      </fill>
    </dxf>
    <dxf>
      <font>
        <color rgb="FFFF0000"/>
        <name val="Cambria"/>
        <scheme val="none"/>
      </font>
      <fill>
        <patternFill>
          <bgColor rgb="FFFFFF00"/>
        </patternFill>
      </fill>
    </dxf>
    <dxf>
      <font>
        <color rgb="FFFF0000"/>
      </font>
    </dxf>
    <dxf>
      <font>
        <color rgb="FFFF0000"/>
      </font>
      <fill>
        <patternFill>
          <bgColor rgb="FFFFFF00"/>
        </patternFill>
      </fill>
    </dxf>
    <dxf>
      <font>
        <color rgb="FFFF0000"/>
        <name val="Cambria"/>
        <scheme val="none"/>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9C0006"/>
      </font>
    </dxf>
  </dxfs>
  <tableStyles count="0" defaultTableStyle="TableStyleMedium2" defaultPivotStyle="PivotStyleLight16"/>
  <colors>
    <mruColors>
      <color rgb="FF142D42"/>
      <color rgb="FFD94F00"/>
      <color rgb="FFFF3300"/>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3" Type="http://schemas.openxmlformats.org/officeDocument/2006/relationships/image" Target="../media/image4.jpg"/><Relationship Id="rId7" Type="http://schemas.openxmlformats.org/officeDocument/2006/relationships/image" Target="../media/image8.jp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png"/><Relationship Id="rId5" Type="http://schemas.openxmlformats.org/officeDocument/2006/relationships/image" Target="../media/image6.jpg"/><Relationship Id="rId15" Type="http://schemas.openxmlformats.org/officeDocument/2006/relationships/image" Target="../media/image1.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8</xdr:col>
      <xdr:colOff>846452</xdr:colOff>
      <xdr:row>0</xdr:row>
      <xdr:rowOff>188258</xdr:rowOff>
    </xdr:from>
    <xdr:to>
      <xdr:col>15</xdr:col>
      <xdr:colOff>0</xdr:colOff>
      <xdr:row>1</xdr:row>
      <xdr:rowOff>539750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6102" y="188258"/>
          <a:ext cx="5049523" cy="11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583142</xdr:colOff>
      <xdr:row>3</xdr:row>
      <xdr:rowOff>38100</xdr:rowOff>
    </xdr:to>
    <xdr:pic>
      <xdr:nvPicPr>
        <xdr:cNvPr id="25043" name="Picture 4">
          <a:extLst>
            <a:ext uri="{FF2B5EF4-FFF2-40B4-BE49-F238E27FC236}">
              <a16:creationId xmlns:a16="http://schemas.microsoft.com/office/drawing/2014/main" id="{00000000-0008-0000-0900-0000D361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3350"/>
          <a:ext cx="3324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9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9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9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9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9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9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258234</xdr:colOff>
      <xdr:row>3</xdr:row>
      <xdr:rowOff>38100</xdr:rowOff>
    </xdr:to>
    <xdr:pic>
      <xdr:nvPicPr>
        <xdr:cNvPr id="2" name="Picture 4">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3350"/>
          <a:ext cx="3324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A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A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A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A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A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A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274108</xdr:colOff>
      <xdr:row>3</xdr:row>
      <xdr:rowOff>38100</xdr:rowOff>
    </xdr:to>
    <xdr:pic>
      <xdr:nvPicPr>
        <xdr:cNvPr id="2" name="Picture 4">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83800" y="133350"/>
          <a:ext cx="347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B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B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B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B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B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B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640292</xdr:colOff>
      <xdr:row>3</xdr:row>
      <xdr:rowOff>38100</xdr:rowOff>
    </xdr:to>
    <xdr:pic>
      <xdr:nvPicPr>
        <xdr:cNvPr id="2" name="Picture 4">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88650" y="133350"/>
          <a:ext cx="347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C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C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C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C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C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C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28</xdr:col>
      <xdr:colOff>1533525</xdr:colOff>
      <xdr:row>0</xdr:row>
      <xdr:rowOff>9525</xdr:rowOff>
    </xdr:from>
    <xdr:to>
      <xdr:col>30</xdr:col>
      <xdr:colOff>57150</xdr:colOff>
      <xdr:row>2</xdr:row>
      <xdr:rowOff>66675</xdr:rowOff>
    </xdr:to>
    <xdr:pic>
      <xdr:nvPicPr>
        <xdr:cNvPr id="17256" name="Picture 2">
          <a:extLst>
            <a:ext uri="{FF2B5EF4-FFF2-40B4-BE49-F238E27FC236}">
              <a16:creationId xmlns:a16="http://schemas.microsoft.com/office/drawing/2014/main" id="{00000000-0008-0000-1100-000068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27150" y="9525"/>
          <a:ext cx="952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2266950</xdr:colOff>
          <xdr:row>14</xdr:row>
          <xdr:rowOff>12700</xdr:rowOff>
        </xdr:from>
        <xdr:to>
          <xdr:col>10</xdr:col>
          <xdr:colOff>946150</xdr:colOff>
          <xdr:row>18</xdr:row>
          <xdr:rowOff>241300</xdr:rowOff>
        </xdr:to>
        <xdr:sp macro="" textlink="">
          <xdr:nvSpPr>
            <xdr:cNvPr id="26637" name="Group Box 13" hidden="1">
              <a:extLst>
                <a:ext uri="{63B3BB69-23CF-44E3-9099-C40C66FF867C}">
                  <a14:compatExt spid="_x0000_s26637"/>
                </a:ext>
                <a:ext uri="{FF2B5EF4-FFF2-40B4-BE49-F238E27FC236}">
                  <a16:creationId xmlns:a16="http://schemas.microsoft.com/office/drawing/2014/main" id="{00000000-0008-0000-0100-00000D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1828800</xdr:colOff>
          <xdr:row>10</xdr:row>
          <xdr:rowOff>895350</xdr:rowOff>
        </xdr:from>
        <xdr:to>
          <xdr:col>9</xdr:col>
          <xdr:colOff>2584450</xdr:colOff>
          <xdr:row>13</xdr:row>
          <xdr:rowOff>127000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01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17</xdr:row>
          <xdr:rowOff>0</xdr:rowOff>
        </xdr:from>
        <xdr:to>
          <xdr:col>5</xdr:col>
          <xdr:colOff>317500</xdr:colOff>
          <xdr:row>18</xdr:row>
          <xdr:rowOff>222250</xdr:rowOff>
        </xdr:to>
        <xdr:sp macro="" textlink="">
          <xdr:nvSpPr>
            <xdr:cNvPr id="26658" name="Group Box 34" hidden="1">
              <a:extLst>
                <a:ext uri="{63B3BB69-23CF-44E3-9099-C40C66FF867C}">
                  <a14:compatExt spid="_x0000_s26658"/>
                </a:ext>
                <a:ext uri="{FF2B5EF4-FFF2-40B4-BE49-F238E27FC236}">
                  <a16:creationId xmlns:a16="http://schemas.microsoft.com/office/drawing/2014/main" id="{00000000-0008-0000-0100-00002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19</xdr:row>
          <xdr:rowOff>0</xdr:rowOff>
        </xdr:from>
        <xdr:to>
          <xdr:col>5</xdr:col>
          <xdr:colOff>317500</xdr:colOff>
          <xdr:row>20</xdr:row>
          <xdr:rowOff>222250</xdr:rowOff>
        </xdr:to>
        <xdr:sp macro="" textlink="">
          <xdr:nvSpPr>
            <xdr:cNvPr id="26660" name="Group Box 36" hidden="1">
              <a:extLst>
                <a:ext uri="{63B3BB69-23CF-44E3-9099-C40C66FF867C}">
                  <a14:compatExt spid="_x0000_s26660"/>
                </a:ext>
                <a:ext uri="{FF2B5EF4-FFF2-40B4-BE49-F238E27FC236}">
                  <a16:creationId xmlns:a16="http://schemas.microsoft.com/office/drawing/2014/main" id="{00000000-0008-0000-0100-00002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xdr:twoCellAnchor editAs="oneCell">
    <xdr:from>
      <xdr:col>7</xdr:col>
      <xdr:colOff>265160</xdr:colOff>
      <xdr:row>0</xdr:row>
      <xdr:rowOff>197555</xdr:rowOff>
    </xdr:from>
    <xdr:to>
      <xdr:col>12</xdr:col>
      <xdr:colOff>292100</xdr:colOff>
      <xdr:row>1</xdr:row>
      <xdr:rowOff>495299</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035" y="197555"/>
          <a:ext cx="4906915" cy="1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847094</xdr:colOff>
      <xdr:row>0</xdr:row>
      <xdr:rowOff>365080</xdr:rowOff>
    </xdr:from>
    <xdr:to>
      <xdr:col>11</xdr:col>
      <xdr:colOff>0</xdr:colOff>
      <xdr:row>1</xdr:row>
      <xdr:rowOff>444500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4844" y="365080"/>
          <a:ext cx="3867781" cy="84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838200</xdr:colOff>
      <xdr:row>0</xdr:row>
      <xdr:rowOff>239101</xdr:rowOff>
    </xdr:from>
    <xdr:to>
      <xdr:col>12</xdr:col>
      <xdr:colOff>0</xdr:colOff>
      <xdr:row>1</xdr:row>
      <xdr:rowOff>503742</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00725" y="239101"/>
          <a:ext cx="4819650" cy="102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xdr:colOff>
      <xdr:row>9</xdr:row>
      <xdr:rowOff>635</xdr:rowOff>
    </xdr:from>
    <xdr:to>
      <xdr:col>2</xdr:col>
      <xdr:colOff>1854398</xdr:colOff>
      <xdr:row>10</xdr:row>
      <xdr:rowOff>8899</xdr:rowOff>
    </xdr:to>
    <xdr:sp macro="" textlink="">
      <xdr:nvSpPr>
        <xdr:cNvPr id="2" name="Check Box 15" hidden="1">
          <a:extLst>
            <a:ext uri="{FF2B5EF4-FFF2-40B4-BE49-F238E27FC236}">
              <a16:creationId xmlns:a16="http://schemas.microsoft.com/office/drawing/2014/main" id="{00000000-0008-0000-0400-000002000000}"/>
            </a:ext>
          </a:extLst>
        </xdr:cNvPr>
        <xdr:cNvSpPr/>
      </xdr:nvSpPr>
      <xdr:spPr>
        <a:xfrm>
          <a:off x="1173480" y="3171825"/>
          <a:ext cx="581464"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5</xdr:row>
          <xdr:rowOff>69850</xdr:rowOff>
        </xdr:from>
        <xdr:to>
          <xdr:col>2</xdr:col>
          <xdr:colOff>11106150</xdr:colOff>
          <xdr:row>6</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6</xdr:row>
          <xdr:rowOff>69850</xdr:rowOff>
        </xdr:from>
        <xdr:to>
          <xdr:col>2</xdr:col>
          <xdr:colOff>9353550</xdr:colOff>
          <xdr:row>7</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12</xdr:row>
          <xdr:rowOff>69850</xdr:rowOff>
        </xdr:from>
        <xdr:to>
          <xdr:col>2</xdr:col>
          <xdr:colOff>9353550</xdr:colOff>
          <xdr:row>13</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8</xdr:row>
          <xdr:rowOff>50800</xdr:rowOff>
        </xdr:from>
        <xdr:to>
          <xdr:col>2</xdr:col>
          <xdr:colOff>9353550</xdr:colOff>
          <xdr:row>9</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13</xdr:row>
          <xdr:rowOff>69850</xdr:rowOff>
        </xdr:from>
        <xdr:to>
          <xdr:col>2</xdr:col>
          <xdr:colOff>9353550</xdr:colOff>
          <xdr:row>14</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11</xdr:row>
          <xdr:rowOff>69850</xdr:rowOff>
        </xdr:from>
        <xdr:to>
          <xdr:col>2</xdr:col>
          <xdr:colOff>9353550</xdr:colOff>
          <xdr:row>12</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9</xdr:row>
          <xdr:rowOff>69850</xdr:rowOff>
        </xdr:from>
        <xdr:to>
          <xdr:col>2</xdr:col>
          <xdr:colOff>9353550</xdr:colOff>
          <xdr:row>10</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10</xdr:row>
          <xdr:rowOff>76200</xdr:rowOff>
        </xdr:from>
        <xdr:to>
          <xdr:col>3</xdr:col>
          <xdr:colOff>12700</xdr:colOff>
          <xdr:row>10</xdr:row>
          <xdr:rowOff>222250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xdr:row>
          <xdr:rowOff>69850</xdr:rowOff>
        </xdr:from>
        <xdr:to>
          <xdr:col>2</xdr:col>
          <xdr:colOff>9353550</xdr:colOff>
          <xdr:row>8</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57150</xdr:rowOff>
        </xdr:from>
        <xdr:to>
          <xdr:col>2</xdr:col>
          <xdr:colOff>2133600</xdr:colOff>
          <xdr:row>15</xdr:row>
          <xdr:rowOff>50800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4</xdr:col>
      <xdr:colOff>895350</xdr:colOff>
      <xdr:row>0</xdr:row>
      <xdr:rowOff>241299</xdr:rowOff>
    </xdr:from>
    <xdr:to>
      <xdr:col>8</xdr:col>
      <xdr:colOff>0</xdr:colOff>
      <xdr:row>1</xdr:row>
      <xdr:rowOff>474353</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7925" y="241299"/>
          <a:ext cx="4257675" cy="995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452438</xdr:colOff>
      <xdr:row>13</xdr:row>
      <xdr:rowOff>226219</xdr:rowOff>
    </xdr:from>
    <xdr:to>
      <xdr:col>3</xdr:col>
      <xdr:colOff>2421544</xdr:colOff>
      <xdr:row>15</xdr:row>
      <xdr:rowOff>199231</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2219" y="5095875"/>
          <a:ext cx="1969106" cy="1357312"/>
        </a:xfrm>
        <a:prstGeom prst="rect">
          <a:avLst/>
        </a:prstGeom>
      </xdr:spPr>
    </xdr:pic>
    <xdr:clientData/>
  </xdr:twoCellAnchor>
  <xdr:twoCellAnchor editAs="oneCell">
    <xdr:from>
      <xdr:col>3</xdr:col>
      <xdr:colOff>404812</xdr:colOff>
      <xdr:row>16</xdr:row>
      <xdr:rowOff>47625</xdr:rowOff>
    </xdr:from>
    <xdr:to>
      <xdr:col>3</xdr:col>
      <xdr:colOff>2354262</xdr:colOff>
      <xdr:row>16</xdr:row>
      <xdr:rowOff>1773360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4593" y="6988969"/>
          <a:ext cx="1952625" cy="1725735"/>
        </a:xfrm>
        <a:prstGeom prst="rect">
          <a:avLst/>
        </a:prstGeom>
      </xdr:spPr>
    </xdr:pic>
    <xdr:clientData/>
  </xdr:twoCellAnchor>
  <xdr:twoCellAnchor editAs="oneCell">
    <xdr:from>
      <xdr:col>3</xdr:col>
      <xdr:colOff>523875</xdr:colOff>
      <xdr:row>18</xdr:row>
      <xdr:rowOff>369093</xdr:rowOff>
    </xdr:from>
    <xdr:to>
      <xdr:col>3</xdr:col>
      <xdr:colOff>2314638</xdr:colOff>
      <xdr:row>21</xdr:row>
      <xdr:rowOff>59531</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83656" y="10072687"/>
          <a:ext cx="1793938" cy="1535906"/>
        </a:xfrm>
        <a:prstGeom prst="rect">
          <a:avLst/>
        </a:prstGeom>
      </xdr:spPr>
    </xdr:pic>
    <xdr:clientData/>
  </xdr:twoCellAnchor>
  <xdr:twoCellAnchor editAs="oneCell">
    <xdr:from>
      <xdr:col>3</xdr:col>
      <xdr:colOff>452438</xdr:colOff>
      <xdr:row>31</xdr:row>
      <xdr:rowOff>66164</xdr:rowOff>
    </xdr:from>
    <xdr:to>
      <xdr:col>3</xdr:col>
      <xdr:colOff>2369345</xdr:colOff>
      <xdr:row>33</xdr:row>
      <xdr:rowOff>494648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2607469" y="19211414"/>
          <a:ext cx="1913732" cy="1476234"/>
        </a:xfrm>
        <a:prstGeom prst="rect">
          <a:avLst/>
        </a:prstGeom>
      </xdr:spPr>
    </xdr:pic>
    <xdr:clientData/>
  </xdr:twoCellAnchor>
  <xdr:twoCellAnchor editAs="oneCell">
    <xdr:from>
      <xdr:col>3</xdr:col>
      <xdr:colOff>309563</xdr:colOff>
      <xdr:row>34</xdr:row>
      <xdr:rowOff>11906</xdr:rowOff>
    </xdr:from>
    <xdr:to>
      <xdr:col>3</xdr:col>
      <xdr:colOff>2314576</xdr:colOff>
      <xdr:row>34</xdr:row>
      <xdr:rowOff>1913731</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69344" y="17573625"/>
          <a:ext cx="2008188" cy="1905000"/>
        </a:xfrm>
        <a:prstGeom prst="rect">
          <a:avLst/>
        </a:prstGeom>
      </xdr:spPr>
    </xdr:pic>
    <xdr:clientData/>
  </xdr:twoCellAnchor>
  <xdr:twoCellAnchor editAs="oneCell">
    <xdr:from>
      <xdr:col>3</xdr:col>
      <xdr:colOff>797720</xdr:colOff>
      <xdr:row>35</xdr:row>
      <xdr:rowOff>583405</xdr:rowOff>
    </xdr:from>
    <xdr:to>
      <xdr:col>3</xdr:col>
      <xdr:colOff>2035970</xdr:colOff>
      <xdr:row>37</xdr:row>
      <xdr:rowOff>503500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01" y="19954874"/>
          <a:ext cx="1238250" cy="1375833"/>
        </a:xfrm>
        <a:prstGeom prst="rect">
          <a:avLst/>
        </a:prstGeom>
      </xdr:spPr>
    </xdr:pic>
    <xdr:clientData/>
  </xdr:twoCellAnchor>
  <xdr:twoCellAnchor editAs="oneCell">
    <xdr:from>
      <xdr:col>3</xdr:col>
      <xdr:colOff>285751</xdr:colOff>
      <xdr:row>39</xdr:row>
      <xdr:rowOff>464344</xdr:rowOff>
    </xdr:from>
    <xdr:to>
      <xdr:col>3</xdr:col>
      <xdr:colOff>2258191</xdr:colOff>
      <xdr:row>41</xdr:row>
      <xdr:rowOff>86518</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345532" y="22371844"/>
          <a:ext cx="1969265" cy="1047750"/>
        </a:xfrm>
        <a:prstGeom prst="rect">
          <a:avLst/>
        </a:prstGeom>
      </xdr:spPr>
    </xdr:pic>
    <xdr:clientData/>
  </xdr:twoCellAnchor>
  <xdr:twoCellAnchor editAs="oneCell">
    <xdr:from>
      <xdr:col>3</xdr:col>
      <xdr:colOff>701934</xdr:colOff>
      <xdr:row>25</xdr:row>
      <xdr:rowOff>59531</xdr:rowOff>
    </xdr:from>
    <xdr:to>
      <xdr:col>3</xdr:col>
      <xdr:colOff>1991519</xdr:colOff>
      <xdr:row>26</xdr:row>
      <xdr:rowOff>637781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1715" y="13537406"/>
          <a:ext cx="1286410" cy="1295800"/>
        </a:xfrm>
        <a:prstGeom prst="rect">
          <a:avLst/>
        </a:prstGeom>
      </xdr:spPr>
    </xdr:pic>
    <xdr:clientData/>
  </xdr:twoCellAnchor>
  <xdr:twoCellAnchor editAs="oneCell">
    <xdr:from>
      <xdr:col>3</xdr:col>
      <xdr:colOff>333375</xdr:colOff>
      <xdr:row>43</xdr:row>
      <xdr:rowOff>23813</xdr:rowOff>
    </xdr:from>
    <xdr:to>
      <xdr:col>3</xdr:col>
      <xdr:colOff>2335958</xdr:colOff>
      <xdr:row>43</xdr:row>
      <xdr:rowOff>1925930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9"/>
        <a:stretch>
          <a:fillRect/>
        </a:stretch>
      </xdr:blipFill>
      <xdr:spPr>
        <a:xfrm>
          <a:off x="2393156" y="25360313"/>
          <a:ext cx="2005758" cy="1902117"/>
        </a:xfrm>
        <a:prstGeom prst="rect">
          <a:avLst/>
        </a:prstGeom>
      </xdr:spPr>
    </xdr:pic>
    <xdr:clientData/>
  </xdr:twoCellAnchor>
  <xdr:twoCellAnchor editAs="oneCell">
    <xdr:from>
      <xdr:col>3</xdr:col>
      <xdr:colOff>702468</xdr:colOff>
      <xdr:row>44</xdr:row>
      <xdr:rowOff>35717</xdr:rowOff>
    </xdr:from>
    <xdr:to>
      <xdr:col>3</xdr:col>
      <xdr:colOff>1992921</xdr:colOff>
      <xdr:row>44</xdr:row>
      <xdr:rowOff>1523998</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0"/>
        <a:stretch>
          <a:fillRect/>
        </a:stretch>
      </xdr:blipFill>
      <xdr:spPr>
        <a:xfrm>
          <a:off x="2762249" y="27301030"/>
          <a:ext cx="1287278" cy="1488281"/>
        </a:xfrm>
        <a:prstGeom prst="rect">
          <a:avLst/>
        </a:prstGeom>
      </xdr:spPr>
    </xdr:pic>
    <xdr:clientData/>
  </xdr:twoCellAnchor>
  <xdr:twoCellAnchor>
    <xdr:from>
      <xdr:col>3</xdr:col>
      <xdr:colOff>1479549</xdr:colOff>
      <xdr:row>64</xdr:row>
      <xdr:rowOff>873195</xdr:rowOff>
    </xdr:from>
    <xdr:to>
      <xdr:col>3</xdr:col>
      <xdr:colOff>2855118</xdr:colOff>
      <xdr:row>65</xdr:row>
      <xdr:rowOff>1072617</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1"/>
        <a:stretch>
          <a:fillRect/>
        </a:stretch>
      </xdr:blipFill>
      <xdr:spPr>
        <a:xfrm>
          <a:off x="3632199" y="33943995"/>
          <a:ext cx="1375569" cy="1329722"/>
        </a:xfrm>
        <a:prstGeom prst="rect">
          <a:avLst/>
        </a:prstGeom>
      </xdr:spPr>
    </xdr:pic>
    <xdr:clientData/>
  </xdr:twoCellAnchor>
  <xdr:twoCellAnchor>
    <xdr:from>
      <xdr:col>3</xdr:col>
      <xdr:colOff>1733550</xdr:colOff>
      <xdr:row>70</xdr:row>
      <xdr:rowOff>454009</xdr:rowOff>
    </xdr:from>
    <xdr:to>
      <xdr:col>3</xdr:col>
      <xdr:colOff>2816717</xdr:colOff>
      <xdr:row>71</xdr:row>
      <xdr:rowOff>812072</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3886200" y="38020609"/>
          <a:ext cx="1083167" cy="1253413"/>
        </a:xfrm>
        <a:prstGeom prst="rect">
          <a:avLst/>
        </a:prstGeom>
      </xdr:spPr>
    </xdr:pic>
    <xdr:clientData/>
  </xdr:twoCellAnchor>
  <xdr:twoCellAnchor>
    <xdr:from>
      <xdr:col>3</xdr:col>
      <xdr:colOff>1504949</xdr:colOff>
      <xdr:row>67</xdr:row>
      <xdr:rowOff>866845</xdr:rowOff>
    </xdr:from>
    <xdr:to>
      <xdr:col>3</xdr:col>
      <xdr:colOff>2880518</xdr:colOff>
      <xdr:row>68</xdr:row>
      <xdr:rowOff>1069442</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1"/>
        <a:stretch>
          <a:fillRect/>
        </a:stretch>
      </xdr:blipFill>
      <xdr:spPr>
        <a:xfrm>
          <a:off x="3657599" y="36185545"/>
          <a:ext cx="1375569" cy="1329722"/>
        </a:xfrm>
        <a:prstGeom prst="rect">
          <a:avLst/>
        </a:prstGeom>
      </xdr:spPr>
    </xdr:pic>
    <xdr:clientData/>
  </xdr:twoCellAnchor>
  <xdr:twoCellAnchor editAs="oneCell">
    <xdr:from>
      <xdr:col>3</xdr:col>
      <xdr:colOff>223045</xdr:colOff>
      <xdr:row>81</xdr:row>
      <xdr:rowOff>130969</xdr:rowOff>
    </xdr:from>
    <xdr:to>
      <xdr:col>3</xdr:col>
      <xdr:colOff>2657969</xdr:colOff>
      <xdr:row>85</xdr:row>
      <xdr:rowOff>37112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stretch>
          <a:fillRect/>
        </a:stretch>
      </xdr:blipFill>
      <xdr:spPr>
        <a:xfrm>
          <a:off x="2378076" y="51125438"/>
          <a:ext cx="2428574" cy="1549206"/>
        </a:xfrm>
        <a:prstGeom prst="rect">
          <a:avLst/>
        </a:prstGeom>
      </xdr:spPr>
    </xdr:pic>
    <xdr:clientData/>
  </xdr:twoCellAnchor>
  <xdr:oneCellAnchor>
    <xdr:from>
      <xdr:col>3</xdr:col>
      <xdr:colOff>235745</xdr:colOff>
      <xdr:row>87</xdr:row>
      <xdr:rowOff>178594</xdr:rowOff>
    </xdr:from>
    <xdr:ext cx="2428574" cy="1549206"/>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3"/>
        <a:stretch>
          <a:fillRect/>
        </a:stretch>
      </xdr:blipFill>
      <xdr:spPr>
        <a:xfrm>
          <a:off x="2390776" y="53506688"/>
          <a:ext cx="2428574" cy="1549206"/>
        </a:xfrm>
        <a:prstGeom prst="rect">
          <a:avLst/>
        </a:prstGeom>
      </xdr:spPr>
    </xdr:pic>
    <xdr:clientData/>
  </xdr:oneCellAnchor>
  <xdr:twoCellAnchor editAs="oneCell">
    <xdr:from>
      <xdr:col>3</xdr:col>
      <xdr:colOff>116680</xdr:colOff>
      <xdr:row>96</xdr:row>
      <xdr:rowOff>125747</xdr:rowOff>
    </xdr:from>
    <xdr:to>
      <xdr:col>3</xdr:col>
      <xdr:colOff>2665329</xdr:colOff>
      <xdr:row>102</xdr:row>
      <xdr:rowOff>192881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4"/>
        <a:stretch>
          <a:fillRect/>
        </a:stretch>
      </xdr:blipFill>
      <xdr:spPr>
        <a:xfrm>
          <a:off x="2269330" y="55942247"/>
          <a:ext cx="2548649" cy="1438733"/>
        </a:xfrm>
        <a:prstGeom prst="rect">
          <a:avLst/>
        </a:prstGeom>
      </xdr:spPr>
    </xdr:pic>
    <xdr:clientData/>
  </xdr:twoCellAnchor>
  <xdr:twoCellAnchor editAs="oneCell">
    <xdr:from>
      <xdr:col>7</xdr:col>
      <xdr:colOff>335267</xdr:colOff>
      <xdr:row>0</xdr:row>
      <xdr:rowOff>123825</xdr:rowOff>
    </xdr:from>
    <xdr:to>
      <xdr:col>13</xdr:col>
      <xdr:colOff>114300</xdr:colOff>
      <xdr:row>1</xdr:row>
      <xdr:rowOff>571500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317217" y="123825"/>
          <a:ext cx="5551183"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4</xdr:row>
          <xdr:rowOff>660400</xdr:rowOff>
        </xdr:from>
        <xdr:to>
          <xdr:col>22</xdr:col>
          <xdr:colOff>508000</xdr:colOff>
          <xdr:row>10</xdr:row>
          <xdr:rowOff>0</xdr:rowOff>
        </xdr:to>
        <xdr:sp macro="" textlink="">
          <xdr:nvSpPr>
            <xdr:cNvPr id="10889" name="Group Box 649" hidden="1">
              <a:extLst>
                <a:ext uri="{63B3BB69-23CF-44E3-9099-C40C66FF867C}">
                  <a14:compatExt spid="_x0000_s10889"/>
                </a:ext>
                <a:ext uri="{FF2B5EF4-FFF2-40B4-BE49-F238E27FC236}">
                  <a16:creationId xmlns:a16="http://schemas.microsoft.com/office/drawing/2014/main" id="{00000000-0008-0000-0600-0000892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23</xdr:col>
      <xdr:colOff>152034</xdr:colOff>
      <xdr:row>0</xdr:row>
      <xdr:rowOff>48312</xdr:rowOff>
    </xdr:from>
    <xdr:to>
      <xdr:col>30</xdr:col>
      <xdr:colOff>1419225</xdr:colOff>
      <xdr:row>2</xdr:row>
      <xdr:rowOff>676275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159" y="48312"/>
          <a:ext cx="7071091" cy="1558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5</xdr:row>
          <xdr:rowOff>660400</xdr:rowOff>
        </xdr:from>
        <xdr:to>
          <xdr:col>24</xdr:col>
          <xdr:colOff>450850</xdr:colOff>
          <xdr:row>11</xdr:row>
          <xdr:rowOff>0</xdr:rowOff>
        </xdr:to>
        <xdr:sp macro="" textlink="">
          <xdr:nvSpPr>
            <xdr:cNvPr id="58370" name="Group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16</xdr:col>
      <xdr:colOff>164647</xdr:colOff>
      <xdr:row>0</xdr:row>
      <xdr:rowOff>68036</xdr:rowOff>
    </xdr:from>
    <xdr:to>
      <xdr:col>22</xdr:col>
      <xdr:colOff>848300</xdr:colOff>
      <xdr:row>2</xdr:row>
      <xdr:rowOff>648483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67147" y="68036"/>
          <a:ext cx="7650510" cy="151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27</xdr:col>
          <xdr:colOff>222250</xdr:colOff>
          <xdr:row>8</xdr:row>
          <xdr:rowOff>114300</xdr:rowOff>
        </xdr:from>
        <xdr:to>
          <xdr:col>29</xdr:col>
          <xdr:colOff>361950</xdr:colOff>
          <xdr:row>10</xdr:row>
          <xdr:rowOff>133350</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08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xdr:row>
          <xdr:rowOff>660400</xdr:rowOff>
        </xdr:from>
        <xdr:to>
          <xdr:col>26</xdr:col>
          <xdr:colOff>438150</xdr:colOff>
          <xdr:row>9</xdr:row>
          <xdr:rowOff>12700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641350</xdr:colOff>
          <xdr:row>12</xdr:row>
          <xdr:rowOff>323850</xdr:rowOff>
        </xdr:from>
        <xdr:to>
          <xdr:col>30</xdr:col>
          <xdr:colOff>241300</xdr:colOff>
          <xdr:row>13</xdr:row>
          <xdr:rowOff>107950</xdr:rowOff>
        </xdr:to>
        <xdr:sp macro="" textlink="">
          <xdr:nvSpPr>
            <xdr:cNvPr id="43037" name="CheckBox1" hidden="1">
              <a:extLst>
                <a:ext uri="{63B3BB69-23CF-44E3-9099-C40C66FF867C}">
                  <a14:compatExt spid="_x0000_s43037"/>
                </a:ext>
                <a:ext uri="{FF2B5EF4-FFF2-40B4-BE49-F238E27FC236}">
                  <a16:creationId xmlns:a16="http://schemas.microsoft.com/office/drawing/2014/main" id="{00000000-0008-0000-0800-00001D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31</xdr:col>
      <xdr:colOff>184149</xdr:colOff>
      <xdr:row>1</xdr:row>
      <xdr:rowOff>240507</xdr:rowOff>
    </xdr:from>
    <xdr:to>
      <xdr:col>38</xdr:col>
      <xdr:colOff>112890</xdr:colOff>
      <xdr:row>2</xdr:row>
      <xdr:rowOff>427111</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a:srcRect b="25589"/>
        <a:stretch/>
      </xdr:blipFill>
      <xdr:spPr>
        <a:xfrm>
          <a:off x="22158324" y="421482"/>
          <a:ext cx="4519791" cy="9486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Existing%20Building_VERSION%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Rebate%20Application_VERSION%20Draft_1.4_PSEGLI%20Approv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lmco.com\mfc\Users\E305427\Documents\PSEG%20CEP\Worksheet%20Testing\Standard%20Rebates\PSEGLI_2017%20Rebate%20Application_VERSION%20Draft_1.2_PSEGLI%20Approv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2%20Final%20Applications\Quarter%203\Lighting%20Retrofit%20Worksheet%20VERSION%202012%20-%20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6%20Lighting_Retrofit_Worksheet_VERSION%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Thermal Storage"/>
      <sheetName val="TES Collection Form"/>
      <sheetName val="Cool Roof EB"/>
      <sheetName val="CR Inspect"/>
      <sheetName val="Compressed Air EB"/>
      <sheetName val="CA Inspect"/>
      <sheetName val="VFD EB"/>
      <sheetName val="VFD Inspect"/>
      <sheetName val="Refrigeration EB"/>
      <sheetName val="Refrigeration Inspect"/>
      <sheetName val="Chiller EB"/>
      <sheetName val="Chiller Inspect"/>
      <sheetName val="Custom EB"/>
    </sheetNames>
    <sheetDataSet>
      <sheetData sheetId="0" refreshError="1"/>
      <sheetData sheetId="1" refreshError="1">
        <row r="4">
          <cell r="I4" t="str">
            <v>Water Cooled, positive displacement &lt; 75</v>
          </cell>
          <cell r="O4">
            <v>0.70199999999999996</v>
          </cell>
          <cell r="P4">
            <v>0.52500000000000002</v>
          </cell>
          <cell r="Q4">
            <v>15</v>
          </cell>
          <cell r="R4">
            <v>8</v>
          </cell>
        </row>
        <row r="5">
          <cell r="I5" t="str">
            <v>Water Cooled, positive displacement ≥ 75 and &lt; 150</v>
          </cell>
          <cell r="O5">
            <v>0.69799999999999995</v>
          </cell>
          <cell r="P5">
            <v>0.52500000000000002</v>
          </cell>
          <cell r="Q5">
            <v>15</v>
          </cell>
          <cell r="R5">
            <v>8</v>
          </cell>
        </row>
        <row r="6">
          <cell r="I6" t="str">
            <v>Water Cooled, positive displacement ≥ 150 and &lt; 300</v>
          </cell>
          <cell r="O6">
            <v>0.61199999999999999</v>
          </cell>
          <cell r="P6">
            <v>0.47299999999999998</v>
          </cell>
          <cell r="Q6">
            <v>15</v>
          </cell>
          <cell r="R6">
            <v>2</v>
          </cell>
        </row>
        <row r="7">
          <cell r="I7" t="str">
            <v>Water Cooled, positive displacement ≥ 300</v>
          </cell>
          <cell r="O7">
            <v>0.58799999999999997</v>
          </cell>
          <cell r="P7">
            <v>0.43</v>
          </cell>
          <cell r="Q7">
            <v>18</v>
          </cell>
          <cell r="R7">
            <v>3</v>
          </cell>
        </row>
        <row r="8">
          <cell r="I8" t="str">
            <v>Water Cooled, centrifugal &lt; 150</v>
          </cell>
          <cell r="O8">
            <v>0.57099999999999995</v>
          </cell>
          <cell r="P8">
            <v>0.39400000000000002</v>
          </cell>
          <cell r="Q8">
            <v>15</v>
          </cell>
          <cell r="R8">
            <v>8</v>
          </cell>
        </row>
        <row r="9">
          <cell r="I9" t="str">
            <v>Water Cooled, centrifugal ≥ 150 and &lt; 300</v>
          </cell>
          <cell r="O9">
            <v>0.57099999999999995</v>
          </cell>
          <cell r="P9">
            <v>0.39400000000000002</v>
          </cell>
          <cell r="Q9">
            <v>15</v>
          </cell>
          <cell r="R9">
            <v>2</v>
          </cell>
        </row>
        <row r="10">
          <cell r="I10" t="str">
            <v xml:space="preserve">Water Cooled, centrifugal ≥ 300 and &lt; 600 </v>
          </cell>
          <cell r="O10">
            <v>0.51600000000000001</v>
          </cell>
          <cell r="P10">
            <v>0.39</v>
          </cell>
          <cell r="Q10">
            <v>12</v>
          </cell>
          <cell r="R10">
            <v>2</v>
          </cell>
        </row>
        <row r="11">
          <cell r="I11" t="str">
            <v>Water Cooled, centrifugal ≥ 600 and &lt;1000</v>
          </cell>
          <cell r="O11">
            <v>0.51300000000000001</v>
          </cell>
          <cell r="P11">
            <v>0.35</v>
          </cell>
          <cell r="Q11">
            <v>12</v>
          </cell>
          <cell r="R11">
            <v>2</v>
          </cell>
        </row>
        <row r="19">
          <cell r="M19" t="str">
            <v>BEF</v>
          </cell>
          <cell r="N19" t="str">
            <v>CTF</v>
          </cell>
          <cell r="O19" t="str">
            <v>CWP</v>
          </cell>
          <cell r="P19" t="str">
            <v>RFA</v>
          </cell>
          <cell r="Q19" t="str">
            <v>SFA</v>
          </cell>
          <cell r="R19" t="str">
            <v>WHP</v>
          </cell>
        </row>
        <row r="26">
          <cell r="I26" t="str">
            <v>Air Cooled Chiller</v>
          </cell>
        </row>
        <row r="27">
          <cell r="I27" t="str">
            <v>Water Cooled Chiller</v>
          </cell>
        </row>
        <row r="28">
          <cell r="I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Office</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B12" t="str">
            <v>Water Cooled, positive displacement &lt; 75</v>
          </cell>
        </row>
        <row r="13">
          <cell r="B13" t="str">
            <v>Water Cooled, positive displacement ≥ 75 and &lt; 150</v>
          </cell>
        </row>
        <row r="14">
          <cell r="B14" t="str">
            <v>Water Cooled, positive displacement ≥ 150 and &lt; 300</v>
          </cell>
        </row>
      </sheetData>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s>
    <sheetDataSet>
      <sheetData sheetId="0" refreshError="1"/>
      <sheetData sheetId="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 val="Chiller EB"/>
    </sheetNames>
    <sheetDataSet>
      <sheetData sheetId="0" refreshError="1"/>
      <sheetData sheetId="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Eligibility Table (T12)"/>
      <sheetName val="Wattage Table"/>
      <sheetName val="Device Code Legend"/>
      <sheetName val="AccountEquipment0"/>
      <sheetName val="ProposedEquipment0"/>
      <sheetName val="LightingProducts"/>
      <sheetName val="Classes"/>
      <sheetName val="References"/>
      <sheetName val="Calculations"/>
      <sheetName val="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puts"/>
      <sheetName val="Fluorescent Eligibility Table"/>
      <sheetName val="LED Eligibility Table"/>
      <sheetName val="Summary"/>
      <sheetName val="Wattage Table"/>
      <sheetName val="Device Code Legend"/>
      <sheetName val="References"/>
      <sheetName val="ProposedEquipment0"/>
      <sheetName val="LightingProducts"/>
      <sheetName val="Calculations"/>
      <sheetName val="Pre_Inspection_Form"/>
      <sheetName val="Post_Inspection_Form"/>
      <sheetName val="ADMIN"/>
      <sheetName val="ADMIN REF"/>
    </sheetNames>
    <sheetDataSet>
      <sheetData sheetId="0" refreshError="1">
        <row r="4">
          <cell r="B4" t="str">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7.vml"/><Relationship Id="rId7" Type="http://schemas.openxmlformats.org/officeDocument/2006/relationships/ctrlProp" Target="../ctrlProps/ctrlProp23.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8.vml"/><Relationship Id="rId7" Type="http://schemas.openxmlformats.org/officeDocument/2006/relationships/ctrlProp" Target="../ctrlProps/ctrlProp29.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9.vml"/><Relationship Id="rId7" Type="http://schemas.openxmlformats.org/officeDocument/2006/relationships/ctrlProp" Target="../ctrlProps/ctrlProp35.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ctrlProp" Target="../ctrlProps/ctrlProp32.xml"/><Relationship Id="rId9" Type="http://schemas.openxmlformats.org/officeDocument/2006/relationships/ctrlProp" Target="../ctrlProps/ctrlProp3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2.xml"/><Relationship Id="rId3" Type="http://schemas.openxmlformats.org/officeDocument/2006/relationships/vmlDrawing" Target="../drawings/vmlDrawing10.vml"/><Relationship Id="rId7" Type="http://schemas.openxmlformats.org/officeDocument/2006/relationships/ctrlProp" Target="../ctrlProps/ctrlProp41.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businessandcommercialrebates" TargetMode="External"/><Relationship Id="rId2" Type="http://schemas.openxmlformats.org/officeDocument/2006/relationships/hyperlink" Target="https://www.psegliny.com/businessandcontractorservices/businessandcommercialsavings/businessandcommercialrebates" TargetMode="External"/><Relationship Id="rId1" Type="http://schemas.openxmlformats.org/officeDocument/2006/relationships/hyperlink" Target="mailto:CEPLI@pseg.com"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psegliny.com/businessandcontractorservices/businessandcommercialsavings/businessandcommercialrebat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trlProp" Target="../ctrlProps/ctrlProp17.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drawing" Target="../drawings/drawing9.xml"/><Relationship Id="rId7" Type="http://schemas.openxmlformats.org/officeDocument/2006/relationships/control" Target="../activeX/activeX2.xml"/><Relationship Id="rId2" Type="http://schemas.openxmlformats.org/officeDocument/2006/relationships/printerSettings" Target="../printerSettings/printerSettings11.bin"/><Relationship Id="rId1" Type="http://schemas.openxmlformats.org/officeDocument/2006/relationships/hyperlink" Target="https://nyserda.ny.gov/qualified-integrated-controls" TargetMode="External"/><Relationship Id="rId6" Type="http://schemas.openxmlformats.org/officeDocument/2006/relationships/image" Target="../media/image16.emf"/><Relationship Id="rId5" Type="http://schemas.openxmlformats.org/officeDocument/2006/relationships/control" Target="../activeX/activeX1.xml"/><Relationship Id="rId10" Type="http://schemas.openxmlformats.org/officeDocument/2006/relationships/comments" Target="../comments2.xml"/><Relationship Id="rId4" Type="http://schemas.openxmlformats.org/officeDocument/2006/relationships/vmlDrawing" Target="../drawings/vmlDrawing6.vml"/><Relationship Id="rId9"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00B050"/>
  </sheetPr>
  <dimension ref="A1:P30"/>
  <sheetViews>
    <sheetView showGridLines="0" tabSelected="1" zoomScaleNormal="100" workbookViewId="0"/>
  </sheetViews>
  <sheetFormatPr defaultColWidth="0" defaultRowHeight="15.5" zeroHeight="1" x14ac:dyDescent="0.35"/>
  <cols>
    <col min="1" max="1" width="2.54296875" style="314" customWidth="1"/>
    <col min="2" max="2" width="9.1796875" style="314" customWidth="1"/>
    <col min="3" max="3" width="2.54296875" style="314" customWidth="1"/>
    <col min="4" max="4" width="4.54296875" style="314" customWidth="1"/>
    <col min="5" max="14" width="12.54296875" style="314" customWidth="1"/>
    <col min="15" max="15" width="9.1796875" style="314" customWidth="1"/>
    <col min="16" max="16384" width="0" style="314" hidden="1"/>
  </cols>
  <sheetData>
    <row r="1" spans="1:16" ht="60" customHeight="1" x14ac:dyDescent="0.35">
      <c r="A1" s="826"/>
      <c r="B1" s="842" t="str">
        <f>Development!B4&amp;" "&amp;Development!B2</f>
        <v>2024 Commercial Efficiency Program</v>
      </c>
      <c r="C1" s="828"/>
      <c r="D1" s="828"/>
      <c r="E1" s="828"/>
      <c r="F1" s="826"/>
      <c r="G1" s="827"/>
      <c r="H1" s="828"/>
      <c r="I1" s="828"/>
      <c r="J1" s="633"/>
      <c r="K1" s="838"/>
      <c r="L1" s="839"/>
      <c r="M1" s="831"/>
      <c r="N1" s="831"/>
      <c r="O1" s="831"/>
      <c r="P1" s="313"/>
    </row>
    <row r="2" spans="1:16" ht="60" customHeight="1" thickBot="1" x14ac:dyDescent="0.4">
      <c r="A2" s="829"/>
      <c r="B2" s="830" t="s">
        <v>776</v>
      </c>
      <c r="C2" s="828"/>
      <c r="D2" s="828"/>
      <c r="E2" s="828"/>
      <c r="F2" s="829"/>
      <c r="G2" s="830"/>
      <c r="H2" s="828"/>
      <c r="I2" s="828"/>
      <c r="J2" s="633"/>
      <c r="K2" s="840"/>
      <c r="L2" s="841"/>
      <c r="M2" s="831"/>
      <c r="N2" s="831"/>
      <c r="O2" s="831"/>
      <c r="P2" s="315"/>
    </row>
    <row r="3" spans="1:16" ht="14.15" customHeight="1" thickTop="1" x14ac:dyDescent="0.35">
      <c r="A3" s="669"/>
      <c r="B3" s="669"/>
      <c r="C3" s="669"/>
      <c r="D3" s="669"/>
      <c r="E3" s="669"/>
      <c r="F3" s="669"/>
      <c r="G3" s="669"/>
      <c r="H3" s="669"/>
      <c r="I3" s="669"/>
      <c r="J3" s="669"/>
      <c r="K3" s="669"/>
      <c r="L3" s="669"/>
      <c r="M3" s="669"/>
      <c r="N3" s="669"/>
      <c r="O3" s="669"/>
      <c r="P3" s="315"/>
    </row>
    <row r="4" spans="1:16" s="330" customFormat="1" x14ac:dyDescent="0.35">
      <c r="B4" s="999" t="s">
        <v>1767</v>
      </c>
      <c r="C4" s="999"/>
      <c r="D4" s="999"/>
      <c r="E4" s="999"/>
      <c r="F4" s="999"/>
      <c r="G4" s="999"/>
      <c r="H4" s="999"/>
      <c r="I4" s="999"/>
      <c r="J4" s="999"/>
      <c r="K4" s="999"/>
      <c r="L4" s="999"/>
      <c r="M4" s="999"/>
      <c r="N4" s="999"/>
    </row>
    <row r="5" spans="1:16" s="330" customFormat="1" x14ac:dyDescent="0.35"/>
    <row r="6" spans="1:16" s="330" customFormat="1" ht="31.5" customHeight="1" x14ac:dyDescent="0.35">
      <c r="B6" s="997" t="s">
        <v>1759</v>
      </c>
      <c r="C6" s="997"/>
      <c r="D6" s="997"/>
      <c r="E6" s="997"/>
      <c r="F6" s="997"/>
      <c r="G6" s="997"/>
      <c r="H6" s="997"/>
      <c r="I6" s="997"/>
      <c r="J6" s="997"/>
      <c r="K6" s="997"/>
      <c r="L6" s="997"/>
      <c r="M6" s="997"/>
      <c r="N6" s="997"/>
    </row>
    <row r="7" spans="1:16" ht="15.75" customHeight="1" x14ac:dyDescent="0.35">
      <c r="A7" s="330"/>
      <c r="B7" s="331"/>
      <c r="C7" s="331"/>
      <c r="D7" s="331"/>
      <c r="E7" s="331"/>
      <c r="F7" s="331"/>
      <c r="G7" s="331"/>
      <c r="H7" s="331"/>
      <c r="I7" s="331"/>
      <c r="J7" s="331"/>
      <c r="K7" s="331"/>
      <c r="L7" s="331"/>
      <c r="M7" s="331"/>
      <c r="N7" s="330"/>
      <c r="O7" s="330"/>
    </row>
    <row r="8" spans="1:16" ht="15.75" customHeight="1" x14ac:dyDescent="0.35">
      <c r="A8" s="330"/>
      <c r="B8" s="997" t="s">
        <v>816</v>
      </c>
      <c r="C8" s="997"/>
      <c r="D8" s="997"/>
      <c r="E8" s="997"/>
      <c r="F8" s="997"/>
      <c r="G8" s="997"/>
      <c r="H8" s="997"/>
      <c r="I8" s="997"/>
      <c r="J8" s="997"/>
      <c r="K8" s="997"/>
      <c r="L8" s="997"/>
      <c r="M8" s="997"/>
      <c r="N8" s="997"/>
      <c r="O8" s="330"/>
    </row>
    <row r="9" spans="1:16" ht="15.75" customHeight="1" x14ac:dyDescent="0.35">
      <c r="A9" s="330"/>
      <c r="B9" s="330"/>
      <c r="C9" s="330"/>
      <c r="D9" s="330"/>
      <c r="E9" s="330"/>
      <c r="F9" s="330"/>
      <c r="G9" s="330"/>
      <c r="H9" s="330"/>
      <c r="I9" s="330"/>
      <c r="J9" s="330"/>
      <c r="K9" s="330"/>
      <c r="L9" s="330"/>
      <c r="M9" s="330"/>
      <c r="N9" s="330"/>
      <c r="O9" s="330"/>
    </row>
    <row r="10" spans="1:16" x14ac:dyDescent="0.35">
      <c r="A10" s="330"/>
      <c r="B10" s="330" t="s">
        <v>51</v>
      </c>
      <c r="C10" s="330"/>
      <c r="D10" s="330"/>
      <c r="E10" s="330"/>
      <c r="F10" s="330"/>
      <c r="G10" s="330"/>
      <c r="H10" s="330"/>
      <c r="I10" s="330"/>
      <c r="J10" s="330"/>
      <c r="K10" s="330"/>
      <c r="L10" s="330"/>
      <c r="M10" s="330"/>
      <c r="N10" s="330"/>
      <c r="O10" s="330"/>
    </row>
    <row r="11" spans="1:16" x14ac:dyDescent="0.35">
      <c r="A11" s="330"/>
      <c r="B11" s="330"/>
      <c r="C11" s="330"/>
      <c r="D11" s="330"/>
      <c r="E11" s="330"/>
      <c r="F11" s="330"/>
      <c r="G11" s="330"/>
      <c r="H11" s="330"/>
      <c r="I11" s="330"/>
      <c r="J11" s="330"/>
      <c r="K11" s="330"/>
      <c r="L11" s="330"/>
      <c r="M11" s="330"/>
      <c r="N11" s="330"/>
      <c r="O11" s="330"/>
    </row>
    <row r="12" spans="1:16" x14ac:dyDescent="0.35">
      <c r="A12" s="330"/>
      <c r="B12" s="330"/>
      <c r="C12" s="332" t="s">
        <v>52</v>
      </c>
      <c r="D12" s="996" t="s">
        <v>1033</v>
      </c>
      <c r="E12" s="996"/>
      <c r="F12" s="996"/>
      <c r="G12" s="996"/>
      <c r="H12" s="996"/>
      <c r="I12" s="996"/>
      <c r="J12" s="996"/>
      <c r="K12" s="996"/>
      <c r="L12" s="996"/>
      <c r="M12" s="996"/>
      <c r="N12" s="996"/>
      <c r="O12" s="330"/>
    </row>
    <row r="13" spans="1:16" x14ac:dyDescent="0.35">
      <c r="A13" s="330"/>
      <c r="B13" s="330"/>
      <c r="C13" s="330"/>
      <c r="D13" s="333"/>
      <c r="E13" s="330"/>
      <c r="F13" s="330"/>
      <c r="G13" s="330"/>
      <c r="H13" s="330"/>
      <c r="I13" s="330"/>
      <c r="J13" s="330"/>
      <c r="K13" s="330"/>
      <c r="L13" s="330"/>
      <c r="M13" s="330"/>
      <c r="N13" s="330"/>
      <c r="O13" s="330"/>
    </row>
    <row r="14" spans="1:16" x14ac:dyDescent="0.35">
      <c r="A14" s="330"/>
      <c r="B14" s="330"/>
      <c r="C14" s="332" t="s">
        <v>53</v>
      </c>
      <c r="D14" s="996" t="s">
        <v>2343</v>
      </c>
      <c r="E14" s="996"/>
      <c r="F14" s="996"/>
      <c r="G14" s="996"/>
      <c r="H14" s="996"/>
      <c r="I14" s="996"/>
      <c r="J14" s="996"/>
      <c r="K14" s="996"/>
      <c r="L14" s="996"/>
      <c r="M14" s="996"/>
      <c r="N14" s="996"/>
      <c r="O14" s="330"/>
    </row>
    <row r="15" spans="1:16" ht="15.75" customHeight="1" x14ac:dyDescent="0.35">
      <c r="A15" s="330"/>
      <c r="B15" s="330"/>
      <c r="C15" s="330"/>
      <c r="D15" s="334"/>
      <c r="E15" s="996" t="s">
        <v>1773</v>
      </c>
      <c r="F15" s="996"/>
      <c r="G15" s="996"/>
      <c r="H15" s="996"/>
      <c r="I15" s="996"/>
      <c r="J15" s="996"/>
      <c r="K15" s="996"/>
      <c r="L15" s="996"/>
      <c r="M15" s="996"/>
      <c r="N15" s="996"/>
      <c r="O15" s="330"/>
    </row>
    <row r="16" spans="1:16" ht="15.75" customHeight="1" x14ac:dyDescent="0.35">
      <c r="A16" s="330"/>
      <c r="B16" s="330"/>
      <c r="C16" s="330"/>
      <c r="D16" s="334" t="s">
        <v>54</v>
      </c>
      <c r="E16" s="996" t="s">
        <v>1774</v>
      </c>
      <c r="F16" s="996"/>
      <c r="G16" s="996"/>
      <c r="H16" s="996"/>
      <c r="I16" s="996"/>
      <c r="J16" s="996"/>
      <c r="K16" s="996"/>
      <c r="L16" s="996"/>
      <c r="M16" s="996"/>
      <c r="N16" s="996"/>
      <c r="O16" s="330"/>
    </row>
    <row r="17" spans="1:15" x14ac:dyDescent="0.35">
      <c r="A17" s="330"/>
      <c r="B17" s="330"/>
      <c r="C17" s="330"/>
      <c r="D17" s="334" t="s">
        <v>54</v>
      </c>
      <c r="E17" s="996" t="s">
        <v>815</v>
      </c>
      <c r="F17" s="996"/>
      <c r="G17" s="996"/>
      <c r="H17" s="996"/>
      <c r="I17" s="996"/>
      <c r="J17" s="996"/>
      <c r="K17" s="996"/>
      <c r="L17" s="996"/>
      <c r="M17" s="996"/>
      <c r="N17" s="996"/>
      <c r="O17" s="330"/>
    </row>
    <row r="18" spans="1:15" x14ac:dyDescent="0.35">
      <c r="A18" s="330"/>
      <c r="B18" s="330"/>
      <c r="C18" s="330"/>
      <c r="D18" s="334" t="s">
        <v>54</v>
      </c>
      <c r="E18" s="995" t="s">
        <v>1040</v>
      </c>
      <c r="F18" s="995"/>
      <c r="G18" s="995"/>
      <c r="H18" s="995"/>
      <c r="I18" s="995"/>
      <c r="J18" s="995"/>
      <c r="K18" s="995"/>
      <c r="L18" s="995"/>
      <c r="M18" s="995"/>
      <c r="N18" s="995"/>
      <c r="O18" s="330"/>
    </row>
    <row r="19" spans="1:15" ht="31.5" customHeight="1" x14ac:dyDescent="0.35">
      <c r="A19" s="330"/>
      <c r="B19" s="330"/>
      <c r="C19" s="330"/>
      <c r="D19" s="334" t="s">
        <v>54</v>
      </c>
      <c r="E19" s="997" t="s">
        <v>185</v>
      </c>
      <c r="F19" s="997"/>
      <c r="G19" s="997"/>
      <c r="H19" s="997"/>
      <c r="I19" s="997"/>
      <c r="J19" s="997"/>
      <c r="K19" s="997"/>
      <c r="L19" s="997"/>
      <c r="M19" s="997"/>
      <c r="N19" s="997"/>
      <c r="O19" s="330"/>
    </row>
    <row r="20" spans="1:15" x14ac:dyDescent="0.35">
      <c r="A20" s="330"/>
      <c r="B20" s="330"/>
      <c r="C20" s="330"/>
      <c r="D20" s="333"/>
      <c r="E20" s="330"/>
      <c r="F20" s="330"/>
      <c r="G20" s="330"/>
      <c r="H20" s="330"/>
      <c r="I20" s="330"/>
      <c r="J20" s="330"/>
      <c r="K20" s="330"/>
      <c r="L20" s="330"/>
      <c r="M20" s="330"/>
      <c r="N20" s="330"/>
      <c r="O20" s="330"/>
    </row>
    <row r="21" spans="1:15" ht="65.150000000000006" customHeight="1" x14ac:dyDescent="0.35">
      <c r="A21" s="330"/>
      <c r="B21" s="330"/>
      <c r="C21" s="335" t="s">
        <v>55</v>
      </c>
      <c r="D21" s="998" t="s">
        <v>1041</v>
      </c>
      <c r="E21" s="998"/>
      <c r="F21" s="998"/>
      <c r="G21" s="998"/>
      <c r="H21" s="998"/>
      <c r="I21" s="998"/>
      <c r="J21" s="998"/>
      <c r="K21" s="998"/>
      <c r="L21" s="998"/>
      <c r="M21" s="998"/>
      <c r="N21" s="330"/>
      <c r="O21" s="330"/>
    </row>
    <row r="22" spans="1:15" x14ac:dyDescent="0.35">
      <c r="A22" s="330"/>
      <c r="B22" s="330"/>
      <c r="C22" s="330"/>
      <c r="D22" s="336"/>
      <c r="E22" s="330"/>
      <c r="F22" s="330"/>
      <c r="G22" s="330"/>
      <c r="H22" s="330"/>
      <c r="I22" s="330"/>
      <c r="J22" s="330"/>
      <c r="K22" s="330"/>
      <c r="L22" s="330"/>
      <c r="M22" s="330"/>
      <c r="N22" s="330"/>
      <c r="O22" s="330"/>
    </row>
    <row r="23" spans="1:15" x14ac:dyDescent="0.35">
      <c r="A23" s="330"/>
      <c r="B23" s="330"/>
      <c r="C23" s="332" t="s">
        <v>56</v>
      </c>
      <c r="D23" s="996" t="s">
        <v>1775</v>
      </c>
      <c r="E23" s="996"/>
      <c r="F23" s="996"/>
      <c r="G23" s="996"/>
      <c r="H23" s="996"/>
      <c r="I23" s="996"/>
      <c r="J23" s="996"/>
      <c r="K23" s="996"/>
      <c r="L23" s="996"/>
      <c r="M23" s="996"/>
      <c r="N23" s="996"/>
      <c r="O23" s="330"/>
    </row>
    <row r="24" spans="1:15" ht="15.75" customHeight="1" x14ac:dyDescent="0.35">
      <c r="A24" s="330"/>
      <c r="B24" s="330"/>
      <c r="C24" s="335"/>
      <c r="D24" s="331"/>
      <c r="E24" s="331"/>
      <c r="F24" s="331"/>
      <c r="G24" s="331"/>
      <c r="H24" s="331"/>
      <c r="I24" s="331"/>
      <c r="J24" s="331"/>
      <c r="K24" s="331"/>
      <c r="L24" s="331"/>
      <c r="M24" s="331"/>
      <c r="N24" s="330"/>
      <c r="O24" s="330"/>
    </row>
    <row r="25" spans="1:15" ht="31.5" customHeight="1" x14ac:dyDescent="0.35">
      <c r="A25" s="330"/>
      <c r="B25" s="330"/>
      <c r="C25" s="335" t="s">
        <v>57</v>
      </c>
      <c r="D25" s="997" t="s">
        <v>73</v>
      </c>
      <c r="E25" s="997"/>
      <c r="F25" s="997"/>
      <c r="G25" s="997"/>
      <c r="H25" s="997"/>
      <c r="I25" s="997"/>
      <c r="J25" s="997"/>
      <c r="K25" s="997"/>
      <c r="L25" s="997"/>
      <c r="M25" s="997"/>
      <c r="N25" s="330"/>
      <c r="O25" s="330"/>
    </row>
    <row r="26" spans="1:15" x14ac:dyDescent="0.35">
      <c r="A26" s="330"/>
      <c r="B26" s="330"/>
      <c r="C26" s="335"/>
      <c r="D26" s="331"/>
      <c r="E26" s="331"/>
      <c r="F26" s="331"/>
      <c r="G26" s="331"/>
      <c r="H26" s="331"/>
      <c r="I26" s="331"/>
      <c r="J26" s="331"/>
      <c r="K26" s="331"/>
      <c r="L26" s="331"/>
      <c r="M26" s="331"/>
      <c r="N26" s="330"/>
      <c r="O26" s="330"/>
    </row>
    <row r="27" spans="1:15" ht="31.5" customHeight="1" x14ac:dyDescent="0.35">
      <c r="A27" s="330"/>
      <c r="B27" s="330"/>
      <c r="C27" s="335" t="s">
        <v>72</v>
      </c>
      <c r="D27" s="997" t="s">
        <v>186</v>
      </c>
      <c r="E27" s="997"/>
      <c r="F27" s="997"/>
      <c r="G27" s="997"/>
      <c r="H27" s="997"/>
      <c r="I27" s="997"/>
      <c r="J27" s="997"/>
      <c r="K27" s="997"/>
      <c r="L27" s="997"/>
      <c r="M27" s="997"/>
      <c r="N27" s="330"/>
      <c r="O27" s="330"/>
    </row>
    <row r="28" spans="1:15" x14ac:dyDescent="0.35">
      <c r="A28" s="330"/>
      <c r="B28" s="330"/>
      <c r="C28" s="330"/>
      <c r="D28" s="330"/>
      <c r="E28" s="330"/>
      <c r="F28" s="330"/>
      <c r="G28" s="330"/>
      <c r="H28" s="330"/>
      <c r="I28" s="330"/>
      <c r="J28" s="330"/>
      <c r="K28" s="330"/>
      <c r="L28" s="330"/>
      <c r="M28" s="330"/>
      <c r="N28" s="330"/>
      <c r="O28" s="330"/>
    </row>
    <row r="29" spans="1:15" ht="30" customHeight="1" x14ac:dyDescent="0.35">
      <c r="A29" s="330"/>
      <c r="B29" s="995" t="s">
        <v>1777</v>
      </c>
      <c r="C29" s="995"/>
      <c r="D29" s="995"/>
      <c r="E29" s="995"/>
      <c r="F29" s="995"/>
      <c r="G29" s="995"/>
      <c r="H29" s="995"/>
      <c r="I29" s="995"/>
      <c r="J29" s="995"/>
      <c r="K29" s="995"/>
      <c r="L29" s="995"/>
      <c r="M29" s="995"/>
      <c r="N29" s="995"/>
      <c r="O29" s="995"/>
    </row>
    <row r="30" spans="1:15" x14ac:dyDescent="0.35">
      <c r="A30" s="330"/>
      <c r="B30" s="330"/>
      <c r="C30" s="330"/>
      <c r="D30" s="330"/>
      <c r="E30" s="330"/>
      <c r="F30" s="330"/>
      <c r="G30" s="330"/>
      <c r="H30" s="330"/>
      <c r="I30" s="330"/>
      <c r="J30" s="330"/>
      <c r="K30" s="330"/>
      <c r="L30" s="330"/>
      <c r="M30" s="330"/>
      <c r="N30" s="330"/>
      <c r="O30" s="330"/>
    </row>
  </sheetData>
  <sheetProtection algorithmName="SHA-512" hashValue="HmyP+TVvQxG+bHQ9os3M1JWRoBIurkhjeZ2Q1KMu8K/4zG+fBOPiL0GdsHsAMwh8yDKjB6GkjVqun1GgJF952w==" saltValue="qHjRyho0Qe5arajBJcK3IA==" spinCount="100000" sheet="1" objects="1" scenarios="1"/>
  <customSheetViews>
    <customSheetView guid="{BE55F258-44BC-4FB6-88BE-39351DF10384}" showGridLines="0" hiddenRows="1" hiddenColumns="1">
      <selection activeCell="B4" sqref="B4:N4"/>
      <pageMargins left="0.7" right="0.7" top="0.75" bottom="0.75" header="0.3" footer="0.3"/>
      <pageSetup orientation="portrait" r:id="rId1"/>
    </customSheetView>
  </customSheetViews>
  <mergeCells count="15">
    <mergeCell ref="E15:N15"/>
    <mergeCell ref="B4:N4"/>
    <mergeCell ref="B6:N6"/>
    <mergeCell ref="B8:N8"/>
    <mergeCell ref="D12:N12"/>
    <mergeCell ref="D14:N14"/>
    <mergeCell ref="B29:O29"/>
    <mergeCell ref="E16:N16"/>
    <mergeCell ref="E17:N17"/>
    <mergeCell ref="E19:N19"/>
    <mergeCell ref="D23:N23"/>
    <mergeCell ref="D25:M25"/>
    <mergeCell ref="D27:M27"/>
    <mergeCell ref="E18:N18"/>
    <mergeCell ref="D21:M21"/>
  </mergeCells>
  <conditionalFormatting sqref="A1:O1">
    <cfRule type="cellIs" dxfId="41" priority="1" stopIfTrue="1" operator="equal">
      <formula>"Missing Info"</formula>
    </cfRule>
  </conditionalFormatting>
  <pageMargins left="0.7" right="0.7" top="0.75" bottom="0.75" header="0.3" footer="0.3"/>
  <pageSetup scale="58"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Y78"/>
  <sheetViews>
    <sheetView showGridLines="0" zoomScale="90" zoomScaleNormal="90" workbookViewId="0"/>
  </sheetViews>
  <sheetFormatPr defaultColWidth="8.81640625" defaultRowHeight="14.5" x14ac:dyDescent="0.35"/>
  <cols>
    <col min="1" max="1" width="3.54296875" style="396" customWidth="1"/>
    <col min="2" max="2" width="9.54296875" style="396" customWidth="1"/>
    <col min="3" max="3" width="12.54296875" style="396" customWidth="1"/>
    <col min="4" max="4" width="25.54296875" style="396" customWidth="1"/>
    <col min="5" max="5" width="14.453125" style="396" customWidth="1"/>
    <col min="6" max="6" width="7.453125" style="396" bestFit="1" customWidth="1"/>
    <col min="7" max="7" width="5.453125" style="396" customWidth="1"/>
    <col min="8" max="8" width="14" style="396" customWidth="1"/>
    <col min="9" max="9" width="20.54296875" style="396" customWidth="1"/>
    <col min="10" max="10" width="26.54296875" style="396" customWidth="1"/>
    <col min="11" max="11" width="4.81640625" style="396" customWidth="1"/>
    <col min="12" max="12" width="9.81640625" style="396" customWidth="1"/>
    <col min="13" max="13" width="13.1796875" style="396" customWidth="1"/>
    <col min="14" max="14" width="18.81640625" style="396" customWidth="1"/>
    <col min="15" max="16" width="11.7265625" style="396" customWidth="1"/>
    <col min="17" max="16384" width="8.81640625" style="396"/>
  </cols>
  <sheetData>
    <row r="1" spans="2:18" ht="30" x14ac:dyDescent="0.35">
      <c r="B1" s="302" t="str">
        <f>Development!B4&amp;" "&amp;Development!B2</f>
        <v>2024 Commercial Efficiency Program</v>
      </c>
      <c r="D1" s="302"/>
      <c r="E1" s="302"/>
      <c r="F1" s="302"/>
      <c r="G1" s="302"/>
      <c r="H1" s="302"/>
      <c r="I1" s="302"/>
      <c r="J1" s="302"/>
      <c r="K1" s="302"/>
      <c r="L1" s="302"/>
      <c r="M1" s="302"/>
    </row>
    <row r="3" spans="2:18" ht="23" x14ac:dyDescent="0.35">
      <c r="C3" s="472" t="str">
        <f>"HVAC Inspection Form "&amp;Development!B4&amp;" version - "&amp;Development!B5</f>
        <v>HVAC Inspection Form 2024 version - 2.0</v>
      </c>
      <c r="D3" s="472"/>
      <c r="E3" s="472"/>
      <c r="F3" s="472"/>
      <c r="G3" s="472"/>
      <c r="H3" s="472"/>
      <c r="I3" s="472"/>
      <c r="J3" s="472"/>
      <c r="K3" s="472"/>
      <c r="L3" s="472"/>
      <c r="M3" s="472"/>
      <c r="N3" s="472"/>
      <c r="O3" s="472"/>
    </row>
    <row r="5" spans="2:18" ht="24" customHeight="1" x14ac:dyDescent="0.35">
      <c r="C5" s="31" t="s">
        <v>1645</v>
      </c>
      <c r="D5" s="473" t="str">
        <f>IF(WkshtName="","",WkshtName)</f>
        <v>PSEGLI_2023 HVAC Worksheet_VERSION 1.0.xlsm</v>
      </c>
      <c r="E5" s="474"/>
    </row>
    <row r="6" spans="2:18" ht="24" customHeight="1" x14ac:dyDescent="0.35">
      <c r="C6" s="31" t="s">
        <v>1226</v>
      </c>
      <c r="D6" s="473" t="str">
        <f>IF('Customer Information'!L42="","",'Customer Information'!L42)</f>
        <v/>
      </c>
      <c r="E6" s="474"/>
    </row>
    <row r="7" spans="2:18" ht="24" customHeight="1" x14ac:dyDescent="0.35">
      <c r="C7" s="31" t="s">
        <v>0</v>
      </c>
      <c r="D7" s="473" t="str">
        <f>IF('HVAC Worksheet'!C7="","",'HVAC Worksheet'!C7)</f>
        <v/>
      </c>
      <c r="E7" s="474"/>
      <c r="F7" s="475"/>
      <c r="G7" s="475"/>
      <c r="H7" s="1128" t="s">
        <v>901</v>
      </c>
      <c r="I7" s="1129"/>
      <c r="J7" s="1129"/>
      <c r="K7" s="1129"/>
      <c r="L7" s="1129"/>
      <c r="M7" s="1129"/>
      <c r="N7" s="1129"/>
      <c r="O7" s="1129"/>
      <c r="P7" s="1130"/>
      <c r="R7" s="476"/>
    </row>
    <row r="8" spans="2:18" ht="25.4" customHeight="1" x14ac:dyDescent="0.35">
      <c r="C8" s="31" t="s">
        <v>2</v>
      </c>
      <c r="D8" s="473" t="str">
        <f>IF('HVAC Worksheet'!C8="","",'HVAC Worksheet'!C8)</f>
        <v/>
      </c>
      <c r="E8" s="474"/>
      <c r="F8" s="475"/>
      <c r="G8" s="475"/>
      <c r="H8" s="739"/>
      <c r="I8" s="740"/>
      <c r="J8" s="740"/>
      <c r="K8" s="740"/>
      <c r="L8" s="740"/>
      <c r="M8" s="740"/>
      <c r="N8" s="740"/>
      <c r="O8" s="740"/>
      <c r="P8" s="741"/>
      <c r="R8" s="2"/>
    </row>
    <row r="9" spans="2:18" ht="25.4" customHeight="1" x14ac:dyDescent="0.35">
      <c r="C9" s="31" t="s">
        <v>921</v>
      </c>
      <c r="D9" s="473" t="str">
        <f>IF('HVAC Worksheet'!C9="","",'HVAC Worksheet'!C9)</f>
        <v/>
      </c>
      <c r="E9" s="474"/>
      <c r="F9" s="475"/>
      <c r="H9" s="738"/>
      <c r="I9" s="31" t="s">
        <v>902</v>
      </c>
      <c r="J9" s="1131"/>
      <c r="K9" s="1131"/>
      <c r="L9" s="475"/>
      <c r="M9" s="31" t="s">
        <v>903</v>
      </c>
      <c r="N9" s="1132"/>
      <c r="O9" s="1132"/>
      <c r="P9" s="478"/>
    </row>
    <row r="10" spans="2:18" ht="25.4" customHeight="1" x14ac:dyDescent="0.35">
      <c r="C10" s="31" t="s">
        <v>5</v>
      </c>
      <c r="D10" s="473" t="str">
        <f>IF('HVAC Worksheet'!C10="","",'HVAC Worksheet'!C10)</f>
        <v/>
      </c>
      <c r="E10" s="474"/>
      <c r="F10" s="475"/>
      <c r="H10" s="738"/>
      <c r="I10" s="475"/>
      <c r="J10" s="475"/>
      <c r="M10" s="475"/>
      <c r="N10" s="475"/>
      <c r="O10" s="475"/>
      <c r="P10" s="479"/>
    </row>
    <row r="11" spans="2:18" ht="25.4" customHeight="1" x14ac:dyDescent="0.35">
      <c r="C11" s="31" t="s">
        <v>4</v>
      </c>
      <c r="D11" s="480" t="str">
        <f>IF('HVAC Worksheet'!G9="","",'HVAC Worksheet'!G9)</f>
        <v/>
      </c>
      <c r="E11" s="474" t="str">
        <f>IF('HVAC Worksheet'!E11="","",'HVAC Worksheet'!E11)</f>
        <v/>
      </c>
      <c r="F11" s="475"/>
      <c r="H11" s="738"/>
      <c r="I11" s="31" t="s">
        <v>904</v>
      </c>
      <c r="J11" s="1131"/>
      <c r="K11" s="1131"/>
      <c r="L11" s="475"/>
      <c r="M11" s="31" t="s">
        <v>905</v>
      </c>
      <c r="N11" s="1132"/>
      <c r="O11" s="1132"/>
      <c r="P11" s="478"/>
    </row>
    <row r="12" spans="2:18" ht="25.4" customHeight="1" x14ac:dyDescent="0.35">
      <c r="C12" s="31" t="s">
        <v>8</v>
      </c>
      <c r="D12" s="480" t="str">
        <f>IF('HVAC Worksheet'!G11="","",'HVAC Worksheet'!G11)</f>
        <v/>
      </c>
      <c r="E12" s="474" t="str">
        <f>IF('HVAC Worksheet'!E12="","",'HVAC Worksheet'!E12)</f>
        <v/>
      </c>
      <c r="F12" s="475"/>
      <c r="H12" s="738"/>
      <c r="I12" s="475"/>
      <c r="J12" s="475"/>
      <c r="M12" s="475"/>
      <c r="N12" s="475"/>
      <c r="O12" s="475"/>
      <c r="P12" s="479"/>
    </row>
    <row r="13" spans="2:18" ht="25.4" customHeight="1" x14ac:dyDescent="0.35">
      <c r="C13" s="31" t="s">
        <v>906</v>
      </c>
      <c r="D13" s="473" t="str">
        <f>IF('HVAC Worksheet'!G7="","",'HVAC Worksheet'!G7)</f>
        <v>Select …</v>
      </c>
      <c r="E13" s="474"/>
      <c r="F13" s="475"/>
      <c r="H13" s="738"/>
      <c r="I13" s="31" t="s">
        <v>907</v>
      </c>
      <c r="J13" s="1131"/>
      <c r="K13" s="1131"/>
      <c r="L13" s="475"/>
      <c r="M13" s="31" t="s">
        <v>908</v>
      </c>
      <c r="N13" s="1132"/>
      <c r="O13" s="1132"/>
      <c r="P13" s="478"/>
    </row>
    <row r="14" spans="2:18" ht="25.4" customHeight="1" x14ac:dyDescent="0.35">
      <c r="C14" s="573" t="s">
        <v>1648</v>
      </c>
      <c r="D14" s="574"/>
      <c r="E14" s="575"/>
      <c r="F14" s="475"/>
      <c r="G14" s="475"/>
      <c r="H14" s="738"/>
      <c r="I14" s="475"/>
      <c r="J14" s="475"/>
      <c r="K14" s="475"/>
      <c r="L14" s="475"/>
      <c r="M14" s="475"/>
      <c r="N14" s="475"/>
      <c r="O14" s="475"/>
      <c r="P14" s="279"/>
      <c r="R14" s="2"/>
    </row>
    <row r="15" spans="2:18" ht="25.4" customHeight="1" x14ac:dyDescent="0.35">
      <c r="C15" s="573"/>
      <c r="D15" s="736"/>
      <c r="E15" s="737"/>
      <c r="F15" s="475"/>
      <c r="G15" s="475"/>
      <c r="H15" s="738" t="s">
        <v>2124</v>
      </c>
      <c r="I15" s="475"/>
      <c r="J15" s="475"/>
      <c r="K15" s="475"/>
      <c r="L15" s="475"/>
      <c r="M15" s="475"/>
      <c r="N15" s="475"/>
      <c r="O15" s="475"/>
      <c r="P15" s="279"/>
      <c r="R15" s="2"/>
    </row>
    <row r="16" spans="2:18" ht="25.4" customHeight="1" x14ac:dyDescent="0.35">
      <c r="C16" s="573"/>
      <c r="D16" s="736"/>
      <c r="E16" s="737"/>
      <c r="F16" s="475"/>
      <c r="G16" s="475"/>
      <c r="H16" s="738"/>
      <c r="I16" s="475"/>
      <c r="J16" s="475"/>
      <c r="K16" s="475"/>
      <c r="L16" s="475"/>
      <c r="M16" s="475"/>
      <c r="N16" s="475"/>
      <c r="O16" s="475"/>
      <c r="P16" s="279"/>
      <c r="R16" s="2"/>
    </row>
    <row r="17" spans="1:25" ht="25.4" customHeight="1" x14ac:dyDescent="0.35">
      <c r="C17" s="573"/>
      <c r="D17" s="736"/>
      <c r="E17" s="737"/>
      <c r="F17" s="475"/>
      <c r="G17" s="475"/>
      <c r="H17" s="738" t="s">
        <v>2125</v>
      </c>
      <c r="I17" s="475"/>
      <c r="J17" s="475"/>
      <c r="K17" s="475"/>
      <c r="L17" s="475"/>
      <c r="M17" s="475"/>
      <c r="N17" s="475"/>
      <c r="O17" s="475"/>
      <c r="P17" s="279"/>
      <c r="R17" s="2"/>
    </row>
    <row r="18" spans="1:25" ht="25.4" customHeight="1" x14ac:dyDescent="0.35">
      <c r="C18" s="573"/>
      <c r="D18" s="736"/>
      <c r="E18" s="737"/>
      <c r="F18" s="475"/>
      <c r="G18" s="475"/>
      <c r="H18" s="738"/>
      <c r="I18" s="475"/>
      <c r="J18" s="475"/>
      <c r="K18" s="475"/>
      <c r="L18" s="475"/>
      <c r="M18" s="475"/>
      <c r="N18" s="475"/>
      <c r="O18" s="475"/>
      <c r="P18" s="279"/>
      <c r="R18" s="2"/>
    </row>
    <row r="19" spans="1:25" ht="25.4" customHeight="1" x14ac:dyDescent="0.35">
      <c r="C19" s="573"/>
      <c r="D19" s="736"/>
      <c r="E19" s="737"/>
      <c r="F19" s="475"/>
      <c r="G19" s="475"/>
      <c r="H19" s="738" t="s">
        <v>2126</v>
      </c>
      <c r="I19" s="475"/>
      <c r="J19" s="475"/>
      <c r="K19" s="475"/>
      <c r="L19" s="475"/>
      <c r="M19" s="475"/>
      <c r="N19" s="475"/>
      <c r="O19" s="475"/>
      <c r="P19" s="279"/>
      <c r="R19" s="2"/>
    </row>
    <row r="20" spans="1:25" ht="25.4" customHeight="1" x14ac:dyDescent="0.35">
      <c r="C20" s="573"/>
      <c r="D20" s="736"/>
      <c r="E20" s="737"/>
      <c r="F20" s="475"/>
      <c r="G20" s="475"/>
      <c r="H20" s="738"/>
      <c r="I20" s="475"/>
      <c r="J20" s="475"/>
      <c r="K20" s="475"/>
      <c r="L20" s="475"/>
      <c r="M20" s="475"/>
      <c r="N20" s="475"/>
      <c r="O20" s="475"/>
      <c r="P20" s="279"/>
      <c r="R20" s="2"/>
    </row>
    <row r="21" spans="1:25" ht="30" customHeight="1" x14ac:dyDescent="0.35">
      <c r="C21" s="573"/>
      <c r="D21" s="736"/>
      <c r="E21" s="737"/>
      <c r="F21" s="475"/>
      <c r="G21" s="475"/>
      <c r="H21" s="742" t="s">
        <v>2127</v>
      </c>
      <c r="I21" s="474"/>
      <c r="J21" s="474"/>
      <c r="K21" s="474"/>
      <c r="L21" s="474"/>
      <c r="M21" s="474"/>
      <c r="N21" s="474"/>
      <c r="O21" s="474"/>
      <c r="P21" s="278"/>
      <c r="R21" s="2"/>
    </row>
    <row r="22" spans="1:25" ht="25.4" customHeight="1" x14ac:dyDescent="0.35">
      <c r="F22" s="475"/>
      <c r="G22" s="475"/>
      <c r="H22" s="475"/>
      <c r="I22" s="475"/>
      <c r="J22" s="475"/>
      <c r="K22" s="475"/>
      <c r="L22" s="475"/>
      <c r="M22" s="475"/>
      <c r="N22" s="475"/>
      <c r="O22" s="475"/>
      <c r="P22" s="475"/>
    </row>
    <row r="23" spans="1:25" ht="15.5" x14ac:dyDescent="0.35">
      <c r="C23" s="475"/>
      <c r="D23" s="475"/>
      <c r="E23" s="475"/>
      <c r="F23" s="475"/>
      <c r="G23" s="475"/>
      <c r="H23" s="475"/>
      <c r="I23" s="475"/>
      <c r="J23" s="475"/>
      <c r="K23" s="475"/>
      <c r="L23" s="475"/>
      <c r="N23" s="31" t="s">
        <v>1226</v>
      </c>
      <c r="O23" s="1133" t="str">
        <f>IF('HVAC Worksheet'!$C$12="","",'HVAC Worksheet'!$C$12)</f>
        <v/>
      </c>
      <c r="P23" s="1133"/>
    </row>
    <row r="24" spans="1:25" ht="20" x14ac:dyDescent="0.35">
      <c r="B24" s="481" t="s">
        <v>909</v>
      </c>
      <c r="D24" s="482"/>
      <c r="E24" s="482"/>
      <c r="F24" s="482"/>
      <c r="G24" s="482"/>
      <c r="H24" s="482"/>
      <c r="I24" s="482"/>
      <c r="J24" s="482"/>
      <c r="K24" s="482"/>
      <c r="L24" s="482"/>
      <c r="M24" s="482"/>
      <c r="N24" s="482"/>
      <c r="O24" s="482"/>
      <c r="P24" s="482"/>
      <c r="Q24" s="481"/>
      <c r="R24" s="481"/>
      <c r="S24" s="481"/>
      <c r="T24" s="481"/>
      <c r="U24" s="481"/>
      <c r="V24" s="481"/>
      <c r="W24" s="481"/>
      <c r="X24" s="481"/>
      <c r="Y24" s="481"/>
    </row>
    <row r="25" spans="1:25" s="485" customFormat="1" ht="27" customHeight="1" x14ac:dyDescent="0.35">
      <c r="B25" s="483" t="s">
        <v>910</v>
      </c>
      <c r="C25" s="1134" t="s">
        <v>9</v>
      </c>
      <c r="D25" s="1135"/>
      <c r="E25" s="483" t="s">
        <v>1367</v>
      </c>
      <c r="F25" s="483" t="s">
        <v>912</v>
      </c>
      <c r="G25" s="484"/>
      <c r="H25" s="483" t="s">
        <v>23</v>
      </c>
      <c r="I25" s="483" t="s">
        <v>913</v>
      </c>
      <c r="J25" s="483" t="s">
        <v>914</v>
      </c>
      <c r="K25" s="484"/>
      <c r="L25" s="483" t="s">
        <v>915</v>
      </c>
      <c r="M25" s="483" t="s">
        <v>916</v>
      </c>
      <c r="N25" s="1134" t="s">
        <v>356</v>
      </c>
      <c r="O25" s="1136"/>
      <c r="P25" s="1135"/>
    </row>
    <row r="26" spans="1:25" ht="15.5" x14ac:dyDescent="0.35">
      <c r="A26" s="396">
        <v>1</v>
      </c>
      <c r="B26" s="304"/>
      <c r="C26" s="1137" t="str">
        <f>IF('HVAC Worksheet'!T17="","",'HVAC Worksheet'!T17)</f>
        <v/>
      </c>
      <c r="D26" s="1138"/>
      <c r="E26" s="486" t="str">
        <f>IF(OR(C26="",'HVAC Worksheet'!U17=""),"",'HVAC Worksheet'!U17)</f>
        <v/>
      </c>
      <c r="F26" s="531"/>
      <c r="H26" s="303"/>
      <c r="I26" s="652" t="str">
        <f>IF('HVAC Worksheet'!W17="","",'HVAC Worksheet'!W17)</f>
        <v/>
      </c>
      <c r="J26" s="303"/>
      <c r="L26" s="303"/>
      <c r="M26" s="303"/>
      <c r="N26" s="1139"/>
      <c r="O26" s="1140"/>
      <c r="P26" s="1141"/>
    </row>
    <row r="27" spans="1:25" ht="15.5" x14ac:dyDescent="0.35">
      <c r="A27" s="396">
        <f>A26+1</f>
        <v>2</v>
      </c>
      <c r="B27" s="304"/>
      <c r="C27" s="1137" t="str">
        <f>IF('HVAC Worksheet'!T18="","",'HVAC Worksheet'!T18)</f>
        <v/>
      </c>
      <c r="D27" s="1138"/>
      <c r="E27" s="486" t="str">
        <f>IF(OR(C27="",'HVAC Worksheet'!U18=""),"",'HVAC Worksheet'!U18)</f>
        <v/>
      </c>
      <c r="F27" s="531"/>
      <c r="H27" s="303"/>
      <c r="I27" s="652" t="str">
        <f>IF('HVAC Worksheet'!W18="","",'HVAC Worksheet'!W18)</f>
        <v/>
      </c>
      <c r="J27" s="303"/>
      <c r="L27" s="303"/>
      <c r="M27" s="303"/>
      <c r="N27" s="1139"/>
      <c r="O27" s="1140"/>
      <c r="P27" s="1141"/>
    </row>
    <row r="28" spans="1:25" ht="15.5" x14ac:dyDescent="0.35">
      <c r="A28" s="396">
        <f t="shared" ref="A28:A50" si="0">A27+1</f>
        <v>3</v>
      </c>
      <c r="B28" s="304"/>
      <c r="C28" s="1137" t="str">
        <f>IF('HVAC Worksheet'!T19="","",'HVAC Worksheet'!T19)</f>
        <v/>
      </c>
      <c r="D28" s="1138"/>
      <c r="E28" s="486" t="str">
        <f>IF(OR(C28="",'HVAC Worksheet'!U19=""),"",'HVAC Worksheet'!U19)</f>
        <v/>
      </c>
      <c r="F28" s="531"/>
      <c r="H28" s="303"/>
      <c r="I28" s="652" t="str">
        <f>IF('HVAC Worksheet'!W19="","",'HVAC Worksheet'!W19)</f>
        <v/>
      </c>
      <c r="J28" s="303"/>
      <c r="L28" s="303"/>
      <c r="M28" s="303"/>
      <c r="N28" s="1139"/>
      <c r="O28" s="1140"/>
      <c r="P28" s="1141"/>
    </row>
    <row r="29" spans="1:25" ht="15.5" x14ac:dyDescent="0.35">
      <c r="A29" s="396">
        <f t="shared" si="0"/>
        <v>4</v>
      </c>
      <c r="B29" s="304"/>
      <c r="C29" s="1137" t="str">
        <f>IF('HVAC Worksheet'!T20="","",'HVAC Worksheet'!T20)</f>
        <v/>
      </c>
      <c r="D29" s="1138"/>
      <c r="E29" s="486" t="str">
        <f>IF(OR(C29="",'HVAC Worksheet'!U20=""),"",'HVAC Worksheet'!U20)</f>
        <v/>
      </c>
      <c r="F29" s="531"/>
      <c r="H29" s="303"/>
      <c r="I29" s="652" t="str">
        <f>IF('HVAC Worksheet'!W20="","",'HVAC Worksheet'!W20)</f>
        <v/>
      </c>
      <c r="J29" s="303"/>
      <c r="L29" s="303"/>
      <c r="M29" s="303"/>
      <c r="N29" s="1139"/>
      <c r="O29" s="1140"/>
      <c r="P29" s="1141"/>
    </row>
    <row r="30" spans="1:25" ht="15.5" x14ac:dyDescent="0.35">
      <c r="A30" s="396">
        <f t="shared" si="0"/>
        <v>5</v>
      </c>
      <c r="B30" s="304"/>
      <c r="C30" s="1137" t="str">
        <f>IF('HVAC Worksheet'!T21="","",'HVAC Worksheet'!T21)</f>
        <v/>
      </c>
      <c r="D30" s="1138"/>
      <c r="E30" s="486" t="str">
        <f>IF(OR(C30="",'HVAC Worksheet'!U21=""),"",'HVAC Worksheet'!U21)</f>
        <v/>
      </c>
      <c r="F30" s="531"/>
      <c r="H30" s="303"/>
      <c r="I30" s="652" t="str">
        <f>IF('HVAC Worksheet'!W21="","",'HVAC Worksheet'!W21)</f>
        <v/>
      </c>
      <c r="J30" s="303"/>
      <c r="L30" s="303"/>
      <c r="M30" s="303"/>
      <c r="N30" s="357"/>
      <c r="O30" s="358"/>
      <c r="P30" s="359"/>
    </row>
    <row r="31" spans="1:25" ht="15.5" x14ac:dyDescent="0.35">
      <c r="A31" s="396">
        <f t="shared" si="0"/>
        <v>6</v>
      </c>
      <c r="B31" s="304"/>
      <c r="C31" s="1137" t="str">
        <f>IF('HVAC Worksheet'!T22="","",'HVAC Worksheet'!T22)</f>
        <v/>
      </c>
      <c r="D31" s="1138"/>
      <c r="E31" s="486" t="str">
        <f>IF(OR(C31="",'HVAC Worksheet'!U22=""),"",'HVAC Worksheet'!U22)</f>
        <v/>
      </c>
      <c r="F31" s="531"/>
      <c r="H31" s="303"/>
      <c r="I31" s="652" t="str">
        <f>IF('HVAC Worksheet'!W22="","",'HVAC Worksheet'!W22)</f>
        <v/>
      </c>
      <c r="J31" s="303"/>
      <c r="L31" s="303"/>
      <c r="M31" s="303"/>
      <c r="N31" s="357"/>
      <c r="O31" s="358"/>
      <c r="P31" s="359"/>
    </row>
    <row r="32" spans="1:25" ht="15.5" x14ac:dyDescent="0.35">
      <c r="A32" s="396">
        <f t="shared" si="0"/>
        <v>7</v>
      </c>
      <c r="B32" s="304"/>
      <c r="C32" s="1137" t="str">
        <f>IF('HVAC Worksheet'!T23="","",'HVAC Worksheet'!T23)</f>
        <v/>
      </c>
      <c r="D32" s="1138"/>
      <c r="E32" s="486" t="str">
        <f>IF(OR(C32="",'HVAC Worksheet'!U23=""),"",'HVAC Worksheet'!U23)</f>
        <v/>
      </c>
      <c r="F32" s="531"/>
      <c r="H32" s="303"/>
      <c r="I32" s="652" t="str">
        <f>IF('HVAC Worksheet'!W23="","",'HVAC Worksheet'!W23)</f>
        <v/>
      </c>
      <c r="J32" s="303"/>
      <c r="L32" s="303"/>
      <c r="M32" s="303"/>
      <c r="N32" s="357"/>
      <c r="O32" s="358"/>
      <c r="P32" s="359"/>
    </row>
    <row r="33" spans="1:16" ht="15.5" x14ac:dyDescent="0.35">
      <c r="A33" s="396">
        <f t="shared" si="0"/>
        <v>8</v>
      </c>
      <c r="B33" s="304"/>
      <c r="C33" s="1137" t="str">
        <f>IF('HVAC Worksheet'!T24="","",'HVAC Worksheet'!T24)</f>
        <v/>
      </c>
      <c r="D33" s="1138"/>
      <c r="E33" s="486" t="str">
        <f>IF(OR(C33="",'HVAC Worksheet'!U24=""),"",'HVAC Worksheet'!U24)</f>
        <v/>
      </c>
      <c r="F33" s="531"/>
      <c r="H33" s="303"/>
      <c r="I33" s="652" t="str">
        <f>IF('HVAC Worksheet'!W24="","",'HVAC Worksheet'!W24)</f>
        <v/>
      </c>
      <c r="J33" s="303"/>
      <c r="L33" s="303"/>
      <c r="M33" s="303"/>
      <c r="N33" s="357"/>
      <c r="O33" s="358"/>
      <c r="P33" s="359"/>
    </row>
    <row r="34" spans="1:16" ht="15.5" x14ac:dyDescent="0.35">
      <c r="A34" s="396">
        <f t="shared" si="0"/>
        <v>9</v>
      </c>
      <c r="B34" s="304"/>
      <c r="C34" s="1137" t="str">
        <f>IF('HVAC Worksheet'!T25="","",'HVAC Worksheet'!T25)</f>
        <v/>
      </c>
      <c r="D34" s="1138"/>
      <c r="E34" s="486" t="str">
        <f>IF(OR(C34="",'HVAC Worksheet'!U25=""),"",'HVAC Worksheet'!U25)</f>
        <v/>
      </c>
      <c r="F34" s="531"/>
      <c r="H34" s="303"/>
      <c r="I34" s="652" t="str">
        <f>IF('HVAC Worksheet'!W25="","",'HVAC Worksheet'!W25)</f>
        <v/>
      </c>
      <c r="J34" s="303"/>
      <c r="L34" s="303"/>
      <c r="M34" s="303"/>
      <c r="N34" s="357"/>
      <c r="O34" s="358"/>
      <c r="P34" s="359"/>
    </row>
    <row r="35" spans="1:16" ht="15.5" x14ac:dyDescent="0.35">
      <c r="A35" s="396">
        <f t="shared" si="0"/>
        <v>10</v>
      </c>
      <c r="B35" s="304"/>
      <c r="C35" s="1137" t="str">
        <f>IF('HVAC Worksheet'!T26="","",'HVAC Worksheet'!T26)</f>
        <v/>
      </c>
      <c r="D35" s="1138"/>
      <c r="E35" s="486" t="str">
        <f>IF(OR(C35="",'HVAC Worksheet'!U26=""),"",'HVAC Worksheet'!U26)</f>
        <v/>
      </c>
      <c r="F35" s="531"/>
      <c r="H35" s="303"/>
      <c r="I35" s="652" t="str">
        <f>IF('HVAC Worksheet'!W26="","",'HVAC Worksheet'!W26)</f>
        <v/>
      </c>
      <c r="J35" s="303"/>
      <c r="L35" s="303"/>
      <c r="M35" s="303"/>
      <c r="N35" s="357"/>
      <c r="O35" s="358"/>
      <c r="P35" s="359"/>
    </row>
    <row r="36" spans="1:16" ht="15.5" x14ac:dyDescent="0.35">
      <c r="A36" s="396">
        <f t="shared" si="0"/>
        <v>11</v>
      </c>
      <c r="B36" s="304"/>
      <c r="C36" s="1137" t="str">
        <f>IF('HVAC Worksheet'!T27="","",'HVAC Worksheet'!T27)</f>
        <v/>
      </c>
      <c r="D36" s="1138"/>
      <c r="E36" s="486" t="str">
        <f>IF(OR(C36="",'HVAC Worksheet'!U27=""),"",'HVAC Worksheet'!U27)</f>
        <v/>
      </c>
      <c r="F36" s="531"/>
      <c r="H36" s="303"/>
      <c r="I36" s="652" t="str">
        <f>IF('HVAC Worksheet'!W27="","",'HVAC Worksheet'!W27)</f>
        <v/>
      </c>
      <c r="J36" s="303"/>
      <c r="L36" s="303"/>
      <c r="M36" s="303"/>
      <c r="N36" s="357"/>
      <c r="O36" s="358"/>
      <c r="P36" s="359"/>
    </row>
    <row r="37" spans="1:16" ht="15.5" x14ac:dyDescent="0.35">
      <c r="A37" s="396">
        <f t="shared" si="0"/>
        <v>12</v>
      </c>
      <c r="B37" s="304"/>
      <c r="C37" s="1137" t="str">
        <f>IF('HVAC Worksheet'!T28="","",'HVAC Worksheet'!T28)</f>
        <v/>
      </c>
      <c r="D37" s="1138"/>
      <c r="E37" s="486" t="str">
        <f>IF(OR(C37="",'HVAC Worksheet'!U28=""),"",'HVAC Worksheet'!U28)</f>
        <v/>
      </c>
      <c r="F37" s="531"/>
      <c r="H37" s="303"/>
      <c r="I37" s="652" t="str">
        <f>IF('HVAC Worksheet'!W28="","",'HVAC Worksheet'!W28)</f>
        <v/>
      </c>
      <c r="J37" s="303"/>
      <c r="L37" s="303"/>
      <c r="M37" s="303"/>
      <c r="N37" s="357"/>
      <c r="O37" s="358"/>
      <c r="P37" s="359"/>
    </row>
    <row r="38" spans="1:16" ht="15.5" x14ac:dyDescent="0.35">
      <c r="A38" s="396">
        <f t="shared" si="0"/>
        <v>13</v>
      </c>
      <c r="B38" s="304"/>
      <c r="C38" s="1137" t="str">
        <f>IF('HVAC Worksheet'!T29="","",'HVAC Worksheet'!T29)</f>
        <v/>
      </c>
      <c r="D38" s="1138"/>
      <c r="E38" s="486" t="str">
        <f>IF(OR(C38="",'HVAC Worksheet'!U29=""),"",'HVAC Worksheet'!U29)</f>
        <v/>
      </c>
      <c r="F38" s="531"/>
      <c r="H38" s="303"/>
      <c r="I38" s="652" t="str">
        <f>IF('HVAC Worksheet'!W29="","",'HVAC Worksheet'!W29)</f>
        <v/>
      </c>
      <c r="J38" s="303"/>
      <c r="L38" s="303"/>
      <c r="M38" s="303"/>
      <c r="N38" s="357"/>
      <c r="O38" s="358"/>
      <c r="P38" s="359"/>
    </row>
    <row r="39" spans="1:16" ht="15.5" x14ac:dyDescent="0.35">
      <c r="A39" s="396">
        <f t="shared" si="0"/>
        <v>14</v>
      </c>
      <c r="B39" s="304"/>
      <c r="C39" s="1137" t="str">
        <f>IF('HVAC Worksheet'!T30="","",'HVAC Worksheet'!T30)</f>
        <v/>
      </c>
      <c r="D39" s="1138"/>
      <c r="E39" s="486" t="str">
        <f>IF(OR(C39="",'HVAC Worksheet'!U30=""),"",'HVAC Worksheet'!U30)</f>
        <v/>
      </c>
      <c r="F39" s="531"/>
      <c r="H39" s="303"/>
      <c r="I39" s="652" t="str">
        <f>IF('HVAC Worksheet'!W30="","",'HVAC Worksheet'!W30)</f>
        <v/>
      </c>
      <c r="J39" s="303"/>
      <c r="L39" s="303"/>
      <c r="M39" s="303"/>
      <c r="N39" s="357"/>
      <c r="O39" s="358"/>
      <c r="P39" s="359"/>
    </row>
    <row r="40" spans="1:16" ht="15.5" x14ac:dyDescent="0.35">
      <c r="A40" s="396">
        <f t="shared" si="0"/>
        <v>15</v>
      </c>
      <c r="B40" s="304"/>
      <c r="C40" s="1137" t="str">
        <f>IF('HVAC Worksheet'!T31="","",'HVAC Worksheet'!T31)</f>
        <v/>
      </c>
      <c r="D40" s="1138"/>
      <c r="E40" s="486" t="str">
        <f>IF(OR(C40="",'HVAC Worksheet'!U31=""),"",'HVAC Worksheet'!U31)</f>
        <v/>
      </c>
      <c r="F40" s="531"/>
      <c r="H40" s="303"/>
      <c r="I40" s="652" t="str">
        <f>IF('HVAC Worksheet'!W31="","",'HVAC Worksheet'!W31)</f>
        <v/>
      </c>
      <c r="J40" s="303"/>
      <c r="L40" s="303"/>
      <c r="M40" s="303"/>
      <c r="N40" s="357"/>
      <c r="O40" s="358"/>
      <c r="P40" s="359"/>
    </row>
    <row r="41" spans="1:16" ht="15.5" x14ac:dyDescent="0.35">
      <c r="A41" s="396">
        <f t="shared" si="0"/>
        <v>16</v>
      </c>
      <c r="B41" s="304"/>
      <c r="C41" s="1137" t="str">
        <f>IF('HVAC Worksheet'!T32="","",'HVAC Worksheet'!T32)</f>
        <v/>
      </c>
      <c r="D41" s="1138"/>
      <c r="E41" s="486" t="str">
        <f>IF(OR(C41="",'HVAC Worksheet'!U32=""),"",'HVAC Worksheet'!U32)</f>
        <v/>
      </c>
      <c r="F41" s="531"/>
      <c r="H41" s="303"/>
      <c r="I41" s="652" t="str">
        <f>IF('HVAC Worksheet'!W32="","",'HVAC Worksheet'!W32)</f>
        <v/>
      </c>
      <c r="J41" s="303"/>
      <c r="L41" s="303"/>
      <c r="M41" s="303"/>
      <c r="N41" s="357"/>
      <c r="O41" s="358"/>
      <c r="P41" s="359"/>
    </row>
    <row r="42" spans="1:16" ht="15.5" x14ac:dyDescent="0.35">
      <c r="A42" s="396">
        <f t="shared" si="0"/>
        <v>17</v>
      </c>
      <c r="B42" s="304"/>
      <c r="C42" s="1137" t="str">
        <f>IF('HVAC Worksheet'!T33="","",'HVAC Worksheet'!T33)</f>
        <v/>
      </c>
      <c r="D42" s="1138"/>
      <c r="E42" s="486" t="str">
        <f>IF(OR(C42="",'HVAC Worksheet'!U33=""),"",'HVAC Worksheet'!U33)</f>
        <v/>
      </c>
      <c r="F42" s="531"/>
      <c r="H42" s="303"/>
      <c r="I42" s="652" t="str">
        <f>IF('HVAC Worksheet'!W33="","",'HVAC Worksheet'!W33)</f>
        <v/>
      </c>
      <c r="J42" s="303"/>
      <c r="L42" s="303"/>
      <c r="M42" s="303"/>
      <c r="N42" s="357"/>
      <c r="O42" s="358"/>
      <c r="P42" s="359"/>
    </row>
    <row r="43" spans="1:16" ht="15.5" x14ac:dyDescent="0.35">
      <c r="A43" s="396">
        <f t="shared" si="0"/>
        <v>18</v>
      </c>
      <c r="B43" s="304"/>
      <c r="C43" s="1137" t="str">
        <f>IF('HVAC Worksheet'!T34="","",'HVAC Worksheet'!T34)</f>
        <v/>
      </c>
      <c r="D43" s="1138"/>
      <c r="E43" s="486" t="str">
        <f>IF(OR(C43="",'HVAC Worksheet'!U34=""),"",'HVAC Worksheet'!U34)</f>
        <v/>
      </c>
      <c r="F43" s="531"/>
      <c r="H43" s="303"/>
      <c r="I43" s="652" t="str">
        <f>IF('HVAC Worksheet'!W34="","",'HVAC Worksheet'!W34)</f>
        <v/>
      </c>
      <c r="J43" s="303"/>
      <c r="L43" s="303"/>
      <c r="M43" s="303"/>
      <c r="N43" s="357"/>
      <c r="O43" s="358"/>
      <c r="P43" s="359"/>
    </row>
    <row r="44" spans="1:16" ht="15.5" x14ac:dyDescent="0.35">
      <c r="A44" s="396">
        <f t="shared" si="0"/>
        <v>19</v>
      </c>
      <c r="B44" s="304"/>
      <c r="C44" s="1137" t="str">
        <f>IF('HVAC Worksheet'!T35="","",'HVAC Worksheet'!T35)</f>
        <v/>
      </c>
      <c r="D44" s="1138"/>
      <c r="E44" s="486" t="str">
        <f>IF(OR(C44="",'HVAC Worksheet'!U35=""),"",'HVAC Worksheet'!U35)</f>
        <v/>
      </c>
      <c r="F44" s="531"/>
      <c r="H44" s="303"/>
      <c r="I44" s="652" t="str">
        <f>IF('HVAC Worksheet'!W35="","",'HVAC Worksheet'!W35)</f>
        <v/>
      </c>
      <c r="J44" s="303"/>
      <c r="L44" s="303"/>
      <c r="M44" s="303"/>
      <c r="N44" s="357"/>
      <c r="O44" s="358"/>
      <c r="P44" s="359"/>
    </row>
    <row r="45" spans="1:16" ht="15.5" x14ac:dyDescent="0.35">
      <c r="A45" s="396">
        <f>A44+1</f>
        <v>20</v>
      </c>
      <c r="B45" s="304"/>
      <c r="C45" s="1137" t="str">
        <f>IF('HVAC Worksheet'!T36="","",'HVAC Worksheet'!T36)</f>
        <v/>
      </c>
      <c r="D45" s="1138"/>
      <c r="E45" s="486" t="str">
        <f>IF(OR(C45="",'HVAC Worksheet'!U36=""),"",'HVAC Worksheet'!U36)</f>
        <v/>
      </c>
      <c r="F45" s="531"/>
      <c r="H45" s="303"/>
      <c r="I45" s="652" t="str">
        <f>IF('HVAC Worksheet'!W36="","",'HVAC Worksheet'!W36)</f>
        <v/>
      </c>
      <c r="J45" s="303"/>
      <c r="L45" s="303"/>
      <c r="M45" s="303"/>
      <c r="N45" s="357"/>
      <c r="O45" s="358"/>
      <c r="P45" s="359"/>
    </row>
    <row r="46" spans="1:16" ht="15.5" x14ac:dyDescent="0.35">
      <c r="A46" s="396">
        <f t="shared" si="0"/>
        <v>21</v>
      </c>
      <c r="B46" s="304"/>
      <c r="C46" s="1137" t="str">
        <f>IF('HVAC Worksheet'!T37="","",'HVAC Worksheet'!T37)</f>
        <v/>
      </c>
      <c r="D46" s="1138"/>
      <c r="E46" s="486" t="str">
        <f>IF(OR(C46="",'HVAC Worksheet'!U37=""),"",'HVAC Worksheet'!U37)</f>
        <v/>
      </c>
      <c r="F46" s="531"/>
      <c r="H46" s="303"/>
      <c r="I46" s="652" t="str">
        <f>IF('HVAC Worksheet'!W37="","",'HVAC Worksheet'!W37)</f>
        <v/>
      </c>
      <c r="J46" s="303"/>
      <c r="L46" s="303"/>
      <c r="M46" s="303"/>
      <c r="N46" s="1139"/>
      <c r="O46" s="1140"/>
      <c r="P46" s="1141"/>
    </row>
    <row r="47" spans="1:16" ht="15.5" x14ac:dyDescent="0.35">
      <c r="A47" s="396">
        <f t="shared" si="0"/>
        <v>22</v>
      </c>
      <c r="B47" s="304"/>
      <c r="C47" s="1137" t="str">
        <f>IF('HVAC Worksheet'!T38="","",'HVAC Worksheet'!T38)</f>
        <v/>
      </c>
      <c r="D47" s="1138"/>
      <c r="E47" s="486" t="str">
        <f>IF(OR(C47="",'HVAC Worksheet'!U38=""),"",'HVAC Worksheet'!U38)</f>
        <v/>
      </c>
      <c r="F47" s="531"/>
      <c r="H47" s="303"/>
      <c r="I47" s="652" t="str">
        <f>IF('HVAC Worksheet'!W38="","",'HVAC Worksheet'!W38)</f>
        <v/>
      </c>
      <c r="J47" s="303"/>
      <c r="L47" s="303"/>
      <c r="M47" s="303"/>
      <c r="N47" s="1139"/>
      <c r="O47" s="1140"/>
      <c r="P47" s="1141"/>
    </row>
    <row r="48" spans="1:16" ht="15.5" x14ac:dyDescent="0.35">
      <c r="A48" s="396">
        <f t="shared" si="0"/>
        <v>23</v>
      </c>
      <c r="B48" s="304"/>
      <c r="C48" s="1137" t="str">
        <f>IF('HVAC Worksheet'!T39="","",'HVAC Worksheet'!T39)</f>
        <v/>
      </c>
      <c r="D48" s="1138"/>
      <c r="E48" s="486" t="str">
        <f>IF(OR(C48="",'HVAC Worksheet'!U39=""),"",'HVAC Worksheet'!U39)</f>
        <v/>
      </c>
      <c r="F48" s="531"/>
      <c r="H48" s="303"/>
      <c r="I48" s="652" t="str">
        <f>IF('HVAC Worksheet'!W39="","",'HVAC Worksheet'!W39)</f>
        <v/>
      </c>
      <c r="J48" s="303"/>
      <c r="L48" s="303"/>
      <c r="M48" s="303"/>
      <c r="N48" s="1139"/>
      <c r="O48" s="1140"/>
      <c r="P48" s="1141"/>
    </row>
    <row r="49" spans="1:17" ht="15.5" x14ac:dyDescent="0.35">
      <c r="A49" s="396">
        <f t="shared" si="0"/>
        <v>24</v>
      </c>
      <c r="B49" s="304"/>
      <c r="C49" s="1137" t="str">
        <f>IF('HVAC Worksheet'!T40="","",'HVAC Worksheet'!T40)</f>
        <v/>
      </c>
      <c r="D49" s="1138"/>
      <c r="E49" s="486" t="str">
        <f>IF(OR(C49="",'HVAC Worksheet'!U40=""),"",'HVAC Worksheet'!U40)</f>
        <v/>
      </c>
      <c r="F49" s="531"/>
      <c r="H49" s="303"/>
      <c r="I49" s="652" t="str">
        <f>IF('HVAC Worksheet'!W40="","",'HVAC Worksheet'!W40)</f>
        <v/>
      </c>
      <c r="J49" s="303"/>
      <c r="L49" s="303"/>
      <c r="M49" s="303"/>
      <c r="N49" s="1139"/>
      <c r="O49" s="1140"/>
      <c r="P49" s="1141"/>
    </row>
    <row r="50" spans="1:17" ht="15.5" x14ac:dyDescent="0.35">
      <c r="A50" s="396">
        <f t="shared" si="0"/>
        <v>25</v>
      </c>
      <c r="B50" s="304"/>
      <c r="C50" s="1137" t="str">
        <f>IF('HVAC Worksheet'!T41="","",'HVAC Worksheet'!T41)</f>
        <v/>
      </c>
      <c r="D50" s="1138"/>
      <c r="E50" s="486" t="str">
        <f>IF(OR(C50="",'HVAC Worksheet'!U41=""),"",'HVAC Worksheet'!U41)</f>
        <v/>
      </c>
      <c r="F50" s="531"/>
      <c r="H50" s="303"/>
      <c r="I50" s="652" t="str">
        <f>IF('HVAC Worksheet'!W41="","",'HVAC Worksheet'!W41)</f>
        <v/>
      </c>
      <c r="J50" s="303"/>
      <c r="L50" s="303"/>
      <c r="M50" s="303"/>
      <c r="N50" s="1139"/>
      <c r="O50" s="1140"/>
      <c r="P50" s="1141"/>
    </row>
    <row r="52" spans="1:17" ht="20" x14ac:dyDescent="0.35">
      <c r="B52" s="481" t="s">
        <v>917</v>
      </c>
      <c r="D52" s="482"/>
      <c r="E52" s="482"/>
      <c r="F52" s="482"/>
      <c r="G52" s="482"/>
      <c r="H52" s="482"/>
      <c r="I52" s="482"/>
      <c r="J52" s="482"/>
      <c r="K52" s="482"/>
      <c r="L52" s="482"/>
      <c r="M52" s="482"/>
      <c r="N52" s="482"/>
      <c r="O52" s="482"/>
      <c r="P52" s="482"/>
      <c r="Q52" s="481"/>
    </row>
    <row r="53" spans="1:17" ht="27.65" customHeight="1" x14ac:dyDescent="0.35">
      <c r="B53" s="483" t="s">
        <v>910</v>
      </c>
      <c r="C53" s="1134" t="s">
        <v>9</v>
      </c>
      <c r="D53" s="1135"/>
      <c r="E53" s="483" t="s">
        <v>911</v>
      </c>
      <c r="F53" s="483" t="s">
        <v>912</v>
      </c>
      <c r="G53" s="484"/>
      <c r="H53" s="483" t="s">
        <v>23</v>
      </c>
      <c r="I53" s="483" t="s">
        <v>913</v>
      </c>
      <c r="J53" s="483" t="s">
        <v>914</v>
      </c>
      <c r="K53" s="484"/>
      <c r="L53" s="483" t="s">
        <v>915</v>
      </c>
      <c r="M53" s="483" t="s">
        <v>916</v>
      </c>
      <c r="N53" s="1134" t="s">
        <v>356</v>
      </c>
      <c r="O53" s="1136"/>
      <c r="P53" s="1135"/>
    </row>
    <row r="54" spans="1:17" ht="15.5" x14ac:dyDescent="0.35">
      <c r="A54" s="396">
        <v>1</v>
      </c>
      <c r="B54" s="304"/>
      <c r="C54" s="1137" t="str">
        <f>IF('HVAC Worksheet'!B17="","",'HVAC Worksheet'!B17)</f>
        <v/>
      </c>
      <c r="D54" s="1138"/>
      <c r="E54" s="486" t="str">
        <f>IF('HVAC Worksheet'!H17="","",'HVAC Worksheet'!H17)</f>
        <v/>
      </c>
      <c r="F54" s="486" t="str">
        <f>IF('HVAC Worksheet'!I17="","",'HVAC Worksheet'!I17)</f>
        <v/>
      </c>
      <c r="G54" s="475"/>
      <c r="H54" s="652" t="str">
        <f>IF('HVAC Worksheet'!F17="","",'HVAC Worksheet'!F17)</f>
        <v/>
      </c>
      <c r="I54" s="652" t="str">
        <f>IF('HVAC Worksheet'!G17="","",'HVAC Worksheet'!G17)</f>
        <v/>
      </c>
      <c r="J54" s="303"/>
      <c r="K54" s="475"/>
      <c r="L54" s="303"/>
      <c r="M54" s="303"/>
      <c r="N54" s="1125"/>
      <c r="O54" s="1126"/>
      <c r="P54" s="1127"/>
    </row>
    <row r="55" spans="1:17" ht="15.5" x14ac:dyDescent="0.35">
      <c r="A55" s="396">
        <f>A54+1</f>
        <v>2</v>
      </c>
      <c r="B55" s="304"/>
      <c r="C55" s="1137" t="str">
        <f>IF('HVAC Worksheet'!B18="","",'HVAC Worksheet'!B18)</f>
        <v/>
      </c>
      <c r="D55" s="1138"/>
      <c r="E55" s="486" t="str">
        <f>IF('HVAC Worksheet'!H18="","",'HVAC Worksheet'!H18)</f>
        <v/>
      </c>
      <c r="F55" s="486" t="str">
        <f>IF('HVAC Worksheet'!I18="","",'HVAC Worksheet'!I18)</f>
        <v/>
      </c>
      <c r="G55" s="475"/>
      <c r="H55" s="652" t="str">
        <f>IF('HVAC Worksheet'!F18="","",'HVAC Worksheet'!F18)</f>
        <v/>
      </c>
      <c r="I55" s="652" t="str">
        <f>IF('HVAC Worksheet'!G18="","",'HVAC Worksheet'!G18)</f>
        <v/>
      </c>
      <c r="J55" s="303"/>
      <c r="K55" s="475"/>
      <c r="L55" s="303"/>
      <c r="M55" s="303"/>
      <c r="N55" s="1125"/>
      <c r="O55" s="1126"/>
      <c r="P55" s="1127"/>
    </row>
    <row r="56" spans="1:17" ht="15.5" x14ac:dyDescent="0.35">
      <c r="A56" s="396">
        <f t="shared" ref="A56:A77" si="1">A55+1</f>
        <v>3</v>
      </c>
      <c r="B56" s="304"/>
      <c r="C56" s="1137" t="str">
        <f>IF('HVAC Worksheet'!B19="","",'HVAC Worksheet'!B19)</f>
        <v/>
      </c>
      <c r="D56" s="1138"/>
      <c r="E56" s="486" t="str">
        <f>IF('HVAC Worksheet'!H19="","",'HVAC Worksheet'!H19)</f>
        <v/>
      </c>
      <c r="F56" s="486" t="str">
        <f>IF('HVAC Worksheet'!I19="","",'HVAC Worksheet'!I19)</f>
        <v/>
      </c>
      <c r="G56" s="475"/>
      <c r="H56" s="652" t="str">
        <f>IF('HVAC Worksheet'!F19="","",'HVAC Worksheet'!F19)</f>
        <v/>
      </c>
      <c r="I56" s="652" t="str">
        <f>IF('HVAC Worksheet'!G19="","",'HVAC Worksheet'!G19)</f>
        <v/>
      </c>
      <c r="J56" s="303"/>
      <c r="K56" s="475"/>
      <c r="L56" s="303"/>
      <c r="M56" s="303"/>
      <c r="N56" s="1125"/>
      <c r="O56" s="1126"/>
      <c r="P56" s="1127"/>
    </row>
    <row r="57" spans="1:17" ht="15.5" x14ac:dyDescent="0.35">
      <c r="A57" s="396">
        <f t="shared" si="1"/>
        <v>4</v>
      </c>
      <c r="B57" s="304"/>
      <c r="C57" s="1137" t="str">
        <f>IF('HVAC Worksheet'!B20="","",'HVAC Worksheet'!B20)</f>
        <v/>
      </c>
      <c r="D57" s="1138"/>
      <c r="E57" s="486" t="str">
        <f>IF('HVAC Worksheet'!H20="","",'HVAC Worksheet'!H20)</f>
        <v/>
      </c>
      <c r="F57" s="486" t="str">
        <f>IF('HVAC Worksheet'!I20="","",'HVAC Worksheet'!I20)</f>
        <v/>
      </c>
      <c r="G57" s="475"/>
      <c r="H57" s="652" t="str">
        <f>IF('HVAC Worksheet'!F20="","",'HVAC Worksheet'!F20)</f>
        <v/>
      </c>
      <c r="I57" s="652" t="str">
        <f>IF('HVAC Worksheet'!G20="","",'HVAC Worksheet'!G20)</f>
        <v/>
      </c>
      <c r="J57" s="303"/>
      <c r="K57" s="475"/>
      <c r="L57" s="303"/>
      <c r="M57" s="303"/>
      <c r="N57" s="1125"/>
      <c r="O57" s="1126"/>
      <c r="P57" s="1127"/>
    </row>
    <row r="58" spans="1:17" ht="15.5" x14ac:dyDescent="0.35">
      <c r="A58" s="396">
        <f t="shared" si="1"/>
        <v>5</v>
      </c>
      <c r="B58" s="304"/>
      <c r="C58" s="1137" t="str">
        <f>IF('HVAC Worksheet'!B21="","",'HVAC Worksheet'!B21)</f>
        <v/>
      </c>
      <c r="D58" s="1138"/>
      <c r="E58" s="486" t="str">
        <f>IF('HVAC Worksheet'!H21="","",'HVAC Worksheet'!H21)</f>
        <v/>
      </c>
      <c r="F58" s="486" t="str">
        <f>IF('HVAC Worksheet'!I21="","",'HVAC Worksheet'!I21)</f>
        <v/>
      </c>
      <c r="G58" s="475"/>
      <c r="H58" s="652" t="str">
        <f>IF('HVAC Worksheet'!F21="","",'HVAC Worksheet'!F21)</f>
        <v/>
      </c>
      <c r="I58" s="652" t="str">
        <f>IF('HVAC Worksheet'!G21="","",'HVAC Worksheet'!G21)</f>
        <v/>
      </c>
      <c r="J58" s="303"/>
      <c r="K58" s="475"/>
      <c r="L58" s="303"/>
      <c r="M58" s="303"/>
      <c r="N58" s="1125"/>
      <c r="O58" s="1126"/>
      <c r="P58" s="1127"/>
    </row>
    <row r="59" spans="1:17" ht="15.5" x14ac:dyDescent="0.35">
      <c r="A59" s="396">
        <f t="shared" si="1"/>
        <v>6</v>
      </c>
      <c r="B59" s="304"/>
      <c r="C59" s="1137" t="str">
        <f>IF('HVAC Worksheet'!B22="","",'HVAC Worksheet'!B22)</f>
        <v/>
      </c>
      <c r="D59" s="1138"/>
      <c r="E59" s="486" t="str">
        <f>IF('HVAC Worksheet'!H22="","",'HVAC Worksheet'!H22)</f>
        <v/>
      </c>
      <c r="F59" s="486" t="str">
        <f>IF('HVAC Worksheet'!I22="","",'HVAC Worksheet'!I22)</f>
        <v/>
      </c>
      <c r="G59" s="475"/>
      <c r="H59" s="652" t="str">
        <f>IF('HVAC Worksheet'!F22="","",'HVAC Worksheet'!F22)</f>
        <v/>
      </c>
      <c r="I59" s="652" t="str">
        <f>IF('HVAC Worksheet'!G22="","",'HVAC Worksheet'!G22)</f>
        <v/>
      </c>
      <c r="J59" s="303"/>
      <c r="K59" s="475"/>
      <c r="L59" s="303"/>
      <c r="M59" s="303"/>
      <c r="N59" s="1125"/>
      <c r="O59" s="1126"/>
      <c r="P59" s="1127"/>
    </row>
    <row r="60" spans="1:17" ht="15.5" x14ac:dyDescent="0.35">
      <c r="A60" s="396">
        <f t="shared" si="1"/>
        <v>7</v>
      </c>
      <c r="B60" s="304"/>
      <c r="C60" s="1137" t="str">
        <f>IF('HVAC Worksheet'!B23="","",'HVAC Worksheet'!B23)</f>
        <v/>
      </c>
      <c r="D60" s="1138"/>
      <c r="E60" s="486" t="str">
        <f>IF('HVAC Worksheet'!H23="","",'HVAC Worksheet'!H23)</f>
        <v/>
      </c>
      <c r="F60" s="486" t="str">
        <f>IF('HVAC Worksheet'!I23="","",'HVAC Worksheet'!I23)</f>
        <v/>
      </c>
      <c r="G60" s="475"/>
      <c r="H60" s="652" t="str">
        <f>IF('HVAC Worksheet'!F23="","",'HVAC Worksheet'!F23)</f>
        <v/>
      </c>
      <c r="I60" s="652" t="str">
        <f>IF('HVAC Worksheet'!G23="","",'HVAC Worksheet'!G23)</f>
        <v/>
      </c>
      <c r="J60" s="303"/>
      <c r="K60" s="475"/>
      <c r="L60" s="303"/>
      <c r="M60" s="303"/>
      <c r="N60" s="354"/>
      <c r="O60" s="355"/>
      <c r="P60" s="356"/>
    </row>
    <row r="61" spans="1:17" ht="15.5" x14ac:dyDescent="0.35">
      <c r="A61" s="396">
        <f t="shared" si="1"/>
        <v>8</v>
      </c>
      <c r="B61" s="304"/>
      <c r="C61" s="1137" t="str">
        <f>IF('HVAC Worksheet'!B24="","",'HVAC Worksheet'!B24)</f>
        <v/>
      </c>
      <c r="D61" s="1138"/>
      <c r="E61" s="486" t="str">
        <f>IF('HVAC Worksheet'!H24="","",'HVAC Worksheet'!H24)</f>
        <v/>
      </c>
      <c r="F61" s="486" t="str">
        <f>IF('HVAC Worksheet'!I24="","",'HVAC Worksheet'!I24)</f>
        <v/>
      </c>
      <c r="G61" s="475"/>
      <c r="H61" s="652" t="str">
        <f>IF('HVAC Worksheet'!F24="","",'HVAC Worksheet'!F24)</f>
        <v/>
      </c>
      <c r="I61" s="652" t="str">
        <f>IF('HVAC Worksheet'!G24="","",'HVAC Worksheet'!G24)</f>
        <v/>
      </c>
      <c r="J61" s="303"/>
      <c r="K61" s="475"/>
      <c r="L61" s="303"/>
      <c r="M61" s="303"/>
      <c r="N61" s="354"/>
      <c r="O61" s="355"/>
      <c r="P61" s="356"/>
    </row>
    <row r="62" spans="1:17" ht="15.5" x14ac:dyDescent="0.35">
      <c r="A62" s="396">
        <f t="shared" si="1"/>
        <v>9</v>
      </c>
      <c r="B62" s="304"/>
      <c r="C62" s="1137" t="str">
        <f>IF('HVAC Worksheet'!B25="","",'HVAC Worksheet'!B25)</f>
        <v/>
      </c>
      <c r="D62" s="1138"/>
      <c r="E62" s="486" t="str">
        <f>IF('HVAC Worksheet'!H25="","",'HVAC Worksheet'!H25)</f>
        <v/>
      </c>
      <c r="F62" s="486" t="str">
        <f>IF('HVAC Worksheet'!I25="","",'HVAC Worksheet'!I25)</f>
        <v/>
      </c>
      <c r="G62" s="475"/>
      <c r="H62" s="652" t="str">
        <f>IF('HVAC Worksheet'!F25="","",'HVAC Worksheet'!F25)</f>
        <v/>
      </c>
      <c r="I62" s="652" t="str">
        <f>IF('HVAC Worksheet'!G25="","",'HVAC Worksheet'!G25)</f>
        <v/>
      </c>
      <c r="J62" s="303"/>
      <c r="K62" s="475"/>
      <c r="L62" s="303"/>
      <c r="M62" s="303"/>
      <c r="N62" s="354"/>
      <c r="O62" s="355"/>
      <c r="P62" s="356"/>
    </row>
    <row r="63" spans="1:17" ht="15.5" x14ac:dyDescent="0.35">
      <c r="A63" s="396">
        <f t="shared" si="1"/>
        <v>10</v>
      </c>
      <c r="B63" s="304"/>
      <c r="C63" s="1137" t="str">
        <f>IF('HVAC Worksheet'!B26="","",'HVAC Worksheet'!B26)</f>
        <v/>
      </c>
      <c r="D63" s="1138"/>
      <c r="E63" s="486" t="str">
        <f>IF('HVAC Worksheet'!H26="","",'HVAC Worksheet'!H26)</f>
        <v/>
      </c>
      <c r="F63" s="486" t="str">
        <f>IF('HVAC Worksheet'!I26="","",'HVAC Worksheet'!I26)</f>
        <v/>
      </c>
      <c r="G63" s="475"/>
      <c r="H63" s="652" t="str">
        <f>IF('HVAC Worksheet'!F26="","",'HVAC Worksheet'!F26)</f>
        <v/>
      </c>
      <c r="I63" s="652" t="str">
        <f>IF('HVAC Worksheet'!G26="","",'HVAC Worksheet'!G26)</f>
        <v/>
      </c>
      <c r="J63" s="303"/>
      <c r="K63" s="475"/>
      <c r="L63" s="303"/>
      <c r="M63" s="303"/>
      <c r="N63" s="354"/>
      <c r="O63" s="355"/>
      <c r="P63" s="356"/>
    </row>
    <row r="64" spans="1:17" ht="15.5" x14ac:dyDescent="0.35">
      <c r="A64" s="396">
        <f t="shared" si="1"/>
        <v>11</v>
      </c>
      <c r="B64" s="304"/>
      <c r="C64" s="1137" t="str">
        <f>IF('HVAC Worksheet'!B27="","",'HVAC Worksheet'!B27)</f>
        <v/>
      </c>
      <c r="D64" s="1138"/>
      <c r="E64" s="486" t="str">
        <f>IF('HVAC Worksheet'!H27="","",'HVAC Worksheet'!H27)</f>
        <v/>
      </c>
      <c r="F64" s="486" t="str">
        <f>IF('HVAC Worksheet'!I27="","",'HVAC Worksheet'!I27)</f>
        <v/>
      </c>
      <c r="G64" s="475"/>
      <c r="H64" s="652" t="str">
        <f>IF('HVAC Worksheet'!F27="","",'HVAC Worksheet'!F27)</f>
        <v/>
      </c>
      <c r="I64" s="652" t="str">
        <f>IF('HVAC Worksheet'!G27="","",'HVAC Worksheet'!G27)</f>
        <v/>
      </c>
      <c r="J64" s="303"/>
      <c r="K64" s="475"/>
      <c r="L64" s="303"/>
      <c r="M64" s="303"/>
      <c r="N64" s="354"/>
      <c r="O64" s="355"/>
      <c r="P64" s="356"/>
    </row>
    <row r="65" spans="1:16" ht="15.5" x14ac:dyDescent="0.35">
      <c r="A65" s="396">
        <f t="shared" si="1"/>
        <v>12</v>
      </c>
      <c r="B65" s="304"/>
      <c r="C65" s="1137" t="str">
        <f>IF('HVAC Worksheet'!B28="","",'HVAC Worksheet'!B28)</f>
        <v/>
      </c>
      <c r="D65" s="1138"/>
      <c r="E65" s="486" t="str">
        <f>IF('HVAC Worksheet'!H28="","",'HVAC Worksheet'!H28)</f>
        <v/>
      </c>
      <c r="F65" s="486" t="str">
        <f>IF('HVAC Worksheet'!I28="","",'HVAC Worksheet'!I28)</f>
        <v/>
      </c>
      <c r="G65" s="475"/>
      <c r="H65" s="652" t="str">
        <f>IF('HVAC Worksheet'!F28="","",'HVAC Worksheet'!F28)</f>
        <v/>
      </c>
      <c r="I65" s="652" t="str">
        <f>IF('HVAC Worksheet'!G28="","",'HVAC Worksheet'!G28)</f>
        <v/>
      </c>
      <c r="J65" s="303"/>
      <c r="K65" s="475"/>
      <c r="L65" s="303"/>
      <c r="M65" s="303"/>
      <c r="N65" s="354"/>
      <c r="O65" s="355"/>
      <c r="P65" s="356"/>
    </row>
    <row r="66" spans="1:16" ht="15.5" x14ac:dyDescent="0.35">
      <c r="A66" s="396">
        <f t="shared" si="1"/>
        <v>13</v>
      </c>
      <c r="B66" s="304"/>
      <c r="C66" s="1137" t="str">
        <f>IF('HVAC Worksheet'!B29="","",'HVAC Worksheet'!B29)</f>
        <v/>
      </c>
      <c r="D66" s="1138"/>
      <c r="E66" s="486" t="str">
        <f>IF('HVAC Worksheet'!H29="","",'HVAC Worksheet'!H29)</f>
        <v/>
      </c>
      <c r="F66" s="486" t="str">
        <f>IF('HVAC Worksheet'!I29="","",'HVAC Worksheet'!I29)</f>
        <v/>
      </c>
      <c r="G66" s="475"/>
      <c r="H66" s="652" t="str">
        <f>IF('HVAC Worksheet'!F29="","",'HVAC Worksheet'!F29)</f>
        <v/>
      </c>
      <c r="I66" s="652" t="str">
        <f>IF('HVAC Worksheet'!G29="","",'HVAC Worksheet'!G29)</f>
        <v/>
      </c>
      <c r="J66" s="303"/>
      <c r="K66" s="475"/>
      <c r="L66" s="303"/>
      <c r="M66" s="303"/>
      <c r="N66" s="1125"/>
      <c r="O66" s="1126"/>
      <c r="P66" s="1127"/>
    </row>
    <row r="67" spans="1:16" ht="15.5" x14ac:dyDescent="0.35">
      <c r="A67" s="396">
        <f t="shared" si="1"/>
        <v>14</v>
      </c>
      <c r="B67" s="304"/>
      <c r="C67" s="1137" t="str">
        <f>IF('HVAC Worksheet'!B30="","",'HVAC Worksheet'!B30)</f>
        <v/>
      </c>
      <c r="D67" s="1138"/>
      <c r="E67" s="486" t="str">
        <f>IF('HVAC Worksheet'!H30="","",'HVAC Worksheet'!H30)</f>
        <v/>
      </c>
      <c r="F67" s="486" t="str">
        <f>IF('HVAC Worksheet'!I30="","",'HVAC Worksheet'!I30)</f>
        <v/>
      </c>
      <c r="G67" s="475"/>
      <c r="H67" s="652" t="str">
        <f>IF('HVAC Worksheet'!F30="","",'HVAC Worksheet'!F30)</f>
        <v/>
      </c>
      <c r="I67" s="652" t="str">
        <f>IF('HVAC Worksheet'!G30="","",'HVAC Worksheet'!G30)</f>
        <v/>
      </c>
      <c r="J67" s="303"/>
      <c r="K67" s="475"/>
      <c r="L67" s="303"/>
      <c r="M67" s="303"/>
      <c r="N67" s="1125"/>
      <c r="O67" s="1126"/>
      <c r="P67" s="1127"/>
    </row>
    <row r="68" spans="1:16" ht="15.5" x14ac:dyDescent="0.35">
      <c r="A68" s="396">
        <f t="shared" si="1"/>
        <v>15</v>
      </c>
      <c r="B68" s="304"/>
      <c r="C68" s="1137" t="str">
        <f>IF('HVAC Worksheet'!B31="","",'HVAC Worksheet'!B31)</f>
        <v/>
      </c>
      <c r="D68" s="1138"/>
      <c r="E68" s="486" t="str">
        <f>IF('HVAC Worksheet'!H31="","",'HVAC Worksheet'!H31)</f>
        <v/>
      </c>
      <c r="F68" s="486" t="str">
        <f>IF('HVAC Worksheet'!I31="","",'HVAC Worksheet'!I31)</f>
        <v/>
      </c>
      <c r="G68" s="475"/>
      <c r="H68" s="652" t="str">
        <f>IF('HVAC Worksheet'!F31="","",'HVAC Worksheet'!F31)</f>
        <v/>
      </c>
      <c r="I68" s="652" t="str">
        <f>IF('HVAC Worksheet'!G31="","",'HVAC Worksheet'!G31)</f>
        <v/>
      </c>
      <c r="J68" s="303"/>
      <c r="K68" s="475"/>
      <c r="L68" s="303"/>
      <c r="M68" s="303"/>
      <c r="N68" s="1125"/>
      <c r="O68" s="1126"/>
      <c r="P68" s="1127"/>
    </row>
    <row r="69" spans="1:16" ht="15.5" x14ac:dyDescent="0.35">
      <c r="A69" s="396">
        <f t="shared" si="1"/>
        <v>16</v>
      </c>
      <c r="B69" s="304"/>
      <c r="C69" s="1137" t="str">
        <f>IF('HVAC Worksheet'!B32="","",'HVAC Worksheet'!B32)</f>
        <v/>
      </c>
      <c r="D69" s="1138"/>
      <c r="E69" s="486" t="str">
        <f>IF('HVAC Worksheet'!H32="","",'HVAC Worksheet'!H32)</f>
        <v/>
      </c>
      <c r="F69" s="486" t="str">
        <f>IF('HVAC Worksheet'!I32="","",'HVAC Worksheet'!I32)</f>
        <v/>
      </c>
      <c r="G69" s="475"/>
      <c r="H69" s="652" t="str">
        <f>IF('HVAC Worksheet'!F32="","",'HVAC Worksheet'!F32)</f>
        <v/>
      </c>
      <c r="I69" s="652" t="str">
        <f>IF('HVAC Worksheet'!G32="","",'HVAC Worksheet'!G32)</f>
        <v/>
      </c>
      <c r="J69" s="303"/>
      <c r="K69" s="475"/>
      <c r="L69" s="303"/>
      <c r="M69" s="303"/>
      <c r="N69" s="1125"/>
      <c r="O69" s="1126"/>
      <c r="P69" s="1127"/>
    </row>
    <row r="70" spans="1:16" ht="15.5" x14ac:dyDescent="0.35">
      <c r="A70" s="396">
        <f t="shared" si="1"/>
        <v>17</v>
      </c>
      <c r="B70" s="304"/>
      <c r="C70" s="1137" t="str">
        <f>IF('HVAC Worksheet'!B33="","",'HVAC Worksheet'!B33)</f>
        <v/>
      </c>
      <c r="D70" s="1138"/>
      <c r="E70" s="486" t="str">
        <f>IF('HVAC Worksheet'!H33="","",'HVAC Worksheet'!H33)</f>
        <v/>
      </c>
      <c r="F70" s="486" t="str">
        <f>IF('HVAC Worksheet'!I33="","",'HVAC Worksheet'!I33)</f>
        <v/>
      </c>
      <c r="G70" s="475"/>
      <c r="H70" s="652" t="str">
        <f>IF('HVAC Worksheet'!F33="","",'HVAC Worksheet'!F33)</f>
        <v/>
      </c>
      <c r="I70" s="652" t="str">
        <f>IF('HVAC Worksheet'!G33="","",'HVAC Worksheet'!G33)</f>
        <v/>
      </c>
      <c r="J70" s="303"/>
      <c r="K70" s="475"/>
      <c r="L70" s="303"/>
      <c r="M70" s="303"/>
      <c r="N70" s="1125"/>
      <c r="O70" s="1126"/>
      <c r="P70" s="1127"/>
    </row>
    <row r="71" spans="1:16" ht="15.5" x14ac:dyDescent="0.35">
      <c r="A71" s="396">
        <f t="shared" si="1"/>
        <v>18</v>
      </c>
      <c r="B71" s="304"/>
      <c r="C71" s="1137" t="str">
        <f>IF('HVAC Worksheet'!B34="","",'HVAC Worksheet'!B34)</f>
        <v/>
      </c>
      <c r="D71" s="1138"/>
      <c r="E71" s="486" t="str">
        <f>IF('HVAC Worksheet'!H34="","",'HVAC Worksheet'!H34)</f>
        <v/>
      </c>
      <c r="F71" s="486" t="str">
        <f>IF('HVAC Worksheet'!I34="","",'HVAC Worksheet'!I34)</f>
        <v/>
      </c>
      <c r="G71" s="475"/>
      <c r="H71" s="652" t="str">
        <f>IF('HVAC Worksheet'!F34="","",'HVAC Worksheet'!F34)</f>
        <v/>
      </c>
      <c r="I71" s="652" t="str">
        <f>IF('HVAC Worksheet'!G34="","",'HVAC Worksheet'!G34)</f>
        <v/>
      </c>
      <c r="J71" s="303"/>
      <c r="K71" s="475"/>
      <c r="L71" s="303"/>
      <c r="M71" s="303"/>
      <c r="N71" s="1125"/>
      <c r="O71" s="1126"/>
      <c r="P71" s="1127"/>
    </row>
    <row r="72" spans="1:16" ht="15.5" x14ac:dyDescent="0.35">
      <c r="A72" s="396">
        <f>A71+1</f>
        <v>19</v>
      </c>
      <c r="B72" s="304"/>
      <c r="C72" s="1137" t="str">
        <f>IF('HVAC Worksheet'!B35="","",'HVAC Worksheet'!B35)</f>
        <v/>
      </c>
      <c r="D72" s="1138"/>
      <c r="E72" s="486" t="str">
        <f>IF('HVAC Worksheet'!H35="","",'HVAC Worksheet'!H35)</f>
        <v/>
      </c>
      <c r="F72" s="486" t="str">
        <f>IF('HVAC Worksheet'!I35="","",'HVAC Worksheet'!I35)</f>
        <v/>
      </c>
      <c r="H72" s="652" t="str">
        <f>IF('HVAC Worksheet'!F35="","",'HVAC Worksheet'!F35)</f>
        <v/>
      </c>
      <c r="I72" s="652" t="str">
        <f>IF('HVAC Worksheet'!G35="","",'HVAC Worksheet'!G35)</f>
        <v/>
      </c>
      <c r="J72" s="304"/>
      <c r="L72" s="304"/>
      <c r="M72" s="304"/>
      <c r="N72" s="1125"/>
      <c r="O72" s="1126"/>
      <c r="P72" s="1127"/>
    </row>
    <row r="73" spans="1:16" ht="15.5" x14ac:dyDescent="0.35">
      <c r="A73" s="396">
        <f t="shared" si="1"/>
        <v>20</v>
      </c>
      <c r="B73" s="304"/>
      <c r="C73" s="1137" t="str">
        <f>IF('HVAC Worksheet'!B36="","",'HVAC Worksheet'!B36)</f>
        <v/>
      </c>
      <c r="D73" s="1138"/>
      <c r="E73" s="486" t="str">
        <f>IF('HVAC Worksheet'!H36="","",'HVAC Worksheet'!H36)</f>
        <v/>
      </c>
      <c r="F73" s="486" t="str">
        <f>IF('HVAC Worksheet'!I36="","",'HVAC Worksheet'!I36)</f>
        <v/>
      </c>
      <c r="H73" s="652" t="str">
        <f>IF('HVAC Worksheet'!F36="","",'HVAC Worksheet'!F36)</f>
        <v/>
      </c>
      <c r="I73" s="652" t="str">
        <f>IF('HVAC Worksheet'!G36="","",'HVAC Worksheet'!G36)</f>
        <v/>
      </c>
      <c r="J73" s="304"/>
      <c r="L73" s="304"/>
      <c r="M73" s="304"/>
      <c r="N73" s="1125"/>
      <c r="O73" s="1126"/>
      <c r="P73" s="1127"/>
    </row>
    <row r="74" spans="1:16" ht="15.5" x14ac:dyDescent="0.35">
      <c r="A74" s="396">
        <f t="shared" si="1"/>
        <v>21</v>
      </c>
      <c r="B74" s="304"/>
      <c r="C74" s="1137" t="str">
        <f>IF('HVAC Worksheet'!B37="","",'HVAC Worksheet'!B37)</f>
        <v/>
      </c>
      <c r="D74" s="1138"/>
      <c r="E74" s="486" t="str">
        <f>IF('HVAC Worksheet'!H37="","",'HVAC Worksheet'!H37)</f>
        <v/>
      </c>
      <c r="F74" s="486" t="str">
        <f>IF('HVAC Worksheet'!I37="","",'HVAC Worksheet'!I37)</f>
        <v/>
      </c>
      <c r="H74" s="652" t="str">
        <f>IF('HVAC Worksheet'!F37="","",'HVAC Worksheet'!F37)</f>
        <v/>
      </c>
      <c r="I74" s="652" t="str">
        <f>IF('HVAC Worksheet'!G37="","",'HVAC Worksheet'!G37)</f>
        <v/>
      </c>
      <c r="J74" s="304"/>
      <c r="L74" s="304"/>
      <c r="M74" s="304"/>
      <c r="N74" s="1125"/>
      <c r="O74" s="1126"/>
      <c r="P74" s="1127"/>
    </row>
    <row r="75" spans="1:16" ht="15.5" x14ac:dyDescent="0.35">
      <c r="A75" s="396">
        <f t="shared" si="1"/>
        <v>22</v>
      </c>
      <c r="B75" s="304"/>
      <c r="C75" s="1137" t="str">
        <f>IF('HVAC Worksheet'!B38="","",'HVAC Worksheet'!B38)</f>
        <v/>
      </c>
      <c r="D75" s="1138"/>
      <c r="E75" s="486" t="str">
        <f>IF('HVAC Worksheet'!H38="","",'HVAC Worksheet'!H38)</f>
        <v/>
      </c>
      <c r="F75" s="486" t="str">
        <f>IF('HVAC Worksheet'!I38="","",'HVAC Worksheet'!I38)</f>
        <v/>
      </c>
      <c r="H75" s="652" t="str">
        <f>IF('HVAC Worksheet'!F38="","",'HVAC Worksheet'!F38)</f>
        <v/>
      </c>
      <c r="I75" s="652" t="str">
        <f>IF('HVAC Worksheet'!G38="","",'HVAC Worksheet'!G38)</f>
        <v/>
      </c>
      <c r="J75" s="304"/>
      <c r="L75" s="304"/>
      <c r="M75" s="304"/>
      <c r="N75" s="1125"/>
      <c r="O75" s="1126"/>
      <c r="P75" s="1127"/>
    </row>
    <row r="76" spans="1:16" ht="15.5" x14ac:dyDescent="0.35">
      <c r="A76" s="396">
        <f>A75+1</f>
        <v>23</v>
      </c>
      <c r="B76" s="304"/>
      <c r="C76" s="1137" t="str">
        <f>IF('HVAC Worksheet'!B39="","",'HVAC Worksheet'!B39)</f>
        <v/>
      </c>
      <c r="D76" s="1138"/>
      <c r="E76" s="486" t="str">
        <f>IF('HVAC Worksheet'!H39="","",'HVAC Worksheet'!H39)</f>
        <v/>
      </c>
      <c r="F76" s="486" t="str">
        <f>IF('HVAC Worksheet'!I39="","",'HVAC Worksheet'!I39)</f>
        <v/>
      </c>
      <c r="H76" s="652" t="str">
        <f>IF('HVAC Worksheet'!F39="","",'HVAC Worksheet'!F39)</f>
        <v/>
      </c>
      <c r="I76" s="652" t="str">
        <f>IF('HVAC Worksheet'!G39="","",'HVAC Worksheet'!G39)</f>
        <v/>
      </c>
      <c r="J76" s="304"/>
      <c r="L76" s="304"/>
      <c r="M76" s="304"/>
      <c r="N76" s="1125"/>
      <c r="O76" s="1126"/>
      <c r="P76" s="1127"/>
    </row>
    <row r="77" spans="1:16" ht="15.5" x14ac:dyDescent="0.35">
      <c r="A77" s="396">
        <f t="shared" si="1"/>
        <v>24</v>
      </c>
      <c r="B77" s="304"/>
      <c r="C77" s="1137" t="str">
        <f>IF('HVAC Worksheet'!B40="","",'HVAC Worksheet'!B40)</f>
        <v/>
      </c>
      <c r="D77" s="1138"/>
      <c r="E77" s="486" t="str">
        <f>IF('HVAC Worksheet'!H40="","",'HVAC Worksheet'!H40)</f>
        <v/>
      </c>
      <c r="F77" s="486" t="str">
        <f>IF('HVAC Worksheet'!I40="","",'HVAC Worksheet'!I40)</f>
        <v/>
      </c>
      <c r="H77" s="652" t="str">
        <f>IF('HVAC Worksheet'!F40="","",'HVAC Worksheet'!F40)</f>
        <v/>
      </c>
      <c r="I77" s="652" t="str">
        <f>IF('HVAC Worksheet'!G40="","",'HVAC Worksheet'!G40)</f>
        <v/>
      </c>
      <c r="J77" s="304"/>
      <c r="L77" s="304"/>
      <c r="M77" s="304"/>
      <c r="N77" s="1125"/>
      <c r="O77" s="1126"/>
      <c r="P77" s="1127"/>
    </row>
    <row r="78" spans="1:16" ht="15.5" x14ac:dyDescent="0.35">
      <c r="A78" s="396">
        <f>A77+1</f>
        <v>25</v>
      </c>
      <c r="B78" s="304"/>
      <c r="C78" s="1137" t="str">
        <f>IF('HVAC Worksheet'!B41="","",'HVAC Worksheet'!B41)</f>
        <v/>
      </c>
      <c r="D78" s="1138"/>
      <c r="E78" s="486" t="str">
        <f>IF('HVAC Worksheet'!H41="","",'HVAC Worksheet'!H41)</f>
        <v/>
      </c>
      <c r="F78" s="486" t="str">
        <f>IF('HVAC Worksheet'!I41="","",'HVAC Worksheet'!I41)</f>
        <v/>
      </c>
      <c r="H78" s="652" t="str">
        <f>IF('HVAC Worksheet'!F41="","",'HVAC Worksheet'!F41)</f>
        <v/>
      </c>
      <c r="I78" s="652" t="str">
        <f>IF('HVAC Worksheet'!G41="","",'HVAC Worksheet'!G41)</f>
        <v/>
      </c>
      <c r="J78" s="304"/>
      <c r="L78" s="304"/>
      <c r="M78" s="304"/>
      <c r="N78" s="1125"/>
      <c r="O78" s="1126"/>
      <c r="P78" s="1127"/>
    </row>
  </sheetData>
  <sheetProtection algorithmName="SHA-512" hashValue="keAQMFAQ/sRnGMGIu/GiiC+Ms3lGYzUHvo/Cs3SRRSa9Y7l3gwfcCxs8KxUXxOcJqFH40hX0oI/pNzo9mLn/OQ==" saltValue="iRCIT+VeTrquAUeNQGb48A==" spinCount="100000" sheet="1" objects="1" scenarios="1"/>
  <mergeCells count="90">
    <mergeCell ref="C36:D36"/>
    <mergeCell ref="C37:D37"/>
    <mergeCell ref="C68:D68"/>
    <mergeCell ref="C78:D78"/>
    <mergeCell ref="C42:D42"/>
    <mergeCell ref="C43:D43"/>
    <mergeCell ref="C44:D44"/>
    <mergeCell ref="C45:D45"/>
    <mergeCell ref="C60:D60"/>
    <mergeCell ref="C61:D61"/>
    <mergeCell ref="C71:D71"/>
    <mergeCell ref="C72:D72"/>
    <mergeCell ref="C73:D73"/>
    <mergeCell ref="C74:D74"/>
    <mergeCell ref="C75:D75"/>
    <mergeCell ref="C76:D76"/>
    <mergeCell ref="N59:P59"/>
    <mergeCell ref="C66:D66"/>
    <mergeCell ref="N66:P66"/>
    <mergeCell ref="C67:D67"/>
    <mergeCell ref="N71:P71"/>
    <mergeCell ref="N68:P68"/>
    <mergeCell ref="C69:D69"/>
    <mergeCell ref="N69:P69"/>
    <mergeCell ref="C70:D70"/>
    <mergeCell ref="N70:P70"/>
    <mergeCell ref="N67:P67"/>
    <mergeCell ref="C62:D62"/>
    <mergeCell ref="C63:D63"/>
    <mergeCell ref="C64:D64"/>
    <mergeCell ref="C65:D65"/>
    <mergeCell ref="N58:P58"/>
    <mergeCell ref="C53:D53"/>
    <mergeCell ref="N53:P53"/>
    <mergeCell ref="C54:D54"/>
    <mergeCell ref="N54:P54"/>
    <mergeCell ref="C55:D55"/>
    <mergeCell ref="N55:P55"/>
    <mergeCell ref="C56:D56"/>
    <mergeCell ref="N56:P56"/>
    <mergeCell ref="C57:D57"/>
    <mergeCell ref="N57:P57"/>
    <mergeCell ref="C58:D58"/>
    <mergeCell ref="N48:P48"/>
    <mergeCell ref="C49:D49"/>
    <mergeCell ref="N49:P49"/>
    <mergeCell ref="C50:D50"/>
    <mergeCell ref="N50:P50"/>
    <mergeCell ref="C77:D77"/>
    <mergeCell ref="C48:D48"/>
    <mergeCell ref="C59:D59"/>
    <mergeCell ref="C29:D29"/>
    <mergeCell ref="N29:P29"/>
    <mergeCell ref="C46:D46"/>
    <mergeCell ref="N46:P46"/>
    <mergeCell ref="C47:D47"/>
    <mergeCell ref="N47:P47"/>
    <mergeCell ref="C38:D38"/>
    <mergeCell ref="C39:D39"/>
    <mergeCell ref="C40:D40"/>
    <mergeCell ref="C41:D41"/>
    <mergeCell ref="C30:D30"/>
    <mergeCell ref="C31:D31"/>
    <mergeCell ref="C32:D32"/>
    <mergeCell ref="C33:D33"/>
    <mergeCell ref="C34:D34"/>
    <mergeCell ref="C35:D35"/>
    <mergeCell ref="C26:D26"/>
    <mergeCell ref="N26:P26"/>
    <mergeCell ref="C27:D27"/>
    <mergeCell ref="N27:P27"/>
    <mergeCell ref="C28:D28"/>
    <mergeCell ref="N28:P28"/>
    <mergeCell ref="J13:K13"/>
    <mergeCell ref="N13:O13"/>
    <mergeCell ref="O23:P23"/>
    <mergeCell ref="C25:D25"/>
    <mergeCell ref="N25:P25"/>
    <mergeCell ref="H7:P7"/>
    <mergeCell ref="J9:K9"/>
    <mergeCell ref="N9:O9"/>
    <mergeCell ref="J11:K11"/>
    <mergeCell ref="N11:O11"/>
    <mergeCell ref="N78:P78"/>
    <mergeCell ref="N72:P72"/>
    <mergeCell ref="N73:P73"/>
    <mergeCell ref="N74:P74"/>
    <mergeCell ref="N75:P75"/>
    <mergeCell ref="N76:P76"/>
    <mergeCell ref="N77:P77"/>
  </mergeCells>
  <pageMargins left="0.7" right="0.7" top="0.75" bottom="0.75" header="0.3" footer="0.3"/>
  <pageSetup scale="3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5" r:id="rId4" name="Check Box 3">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4036" r:id="rId5" name="Check Box 4">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4037" r:id="rId6" name="Check Box 5">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4038" r:id="rId7" name="Check Box 6">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4039" r:id="rId8" name="Check Box 7">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4040" r:id="rId9" name="Check Box 8">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764DF-5668-4A31-A76E-ACE9D83FB622}">
  <sheetPr codeName="Sheet17">
    <tabColor rgb="FF00B0F0"/>
  </sheetPr>
  <dimension ref="A1:Y78"/>
  <sheetViews>
    <sheetView showGridLines="0" zoomScale="90" zoomScaleNormal="90" workbookViewId="0"/>
  </sheetViews>
  <sheetFormatPr defaultColWidth="8.81640625" defaultRowHeight="14.5" x14ac:dyDescent="0.35"/>
  <cols>
    <col min="1" max="1" width="3.54296875" style="396" customWidth="1"/>
    <col min="2" max="2" width="9.54296875" style="396" customWidth="1"/>
    <col min="3" max="3" width="12.54296875" style="396" customWidth="1"/>
    <col min="4" max="4" width="25.54296875" style="396" customWidth="1"/>
    <col min="5" max="5" width="14.453125" style="396" customWidth="1"/>
    <col min="6" max="6" width="12.54296875" style="396" customWidth="1"/>
    <col min="7" max="7" width="3.54296875" style="396" customWidth="1"/>
    <col min="8" max="8" width="14" style="396" customWidth="1"/>
    <col min="9" max="9" width="18.54296875" style="396" customWidth="1"/>
    <col min="10" max="10" width="29" style="396" customWidth="1"/>
    <col min="11" max="11" width="3.54296875" style="396" customWidth="1"/>
    <col min="12" max="12" width="7.453125" style="396" customWidth="1"/>
    <col min="13" max="13" width="17.7265625" style="396" customWidth="1"/>
    <col min="14" max="14" width="15.1796875" style="396" customWidth="1"/>
    <col min="15" max="15" width="15.453125" style="396" customWidth="1"/>
    <col min="16" max="16" width="14.1796875" style="396" customWidth="1"/>
    <col min="17" max="16384" width="8.81640625" style="396"/>
  </cols>
  <sheetData>
    <row r="1" spans="2:18" ht="30" x14ac:dyDescent="0.35">
      <c r="B1" s="302" t="str">
        <f>Development!B4&amp;" "&amp;Development!B2</f>
        <v>2024 Commercial Efficiency Program</v>
      </c>
      <c r="D1" s="302"/>
      <c r="E1" s="302"/>
      <c r="F1" s="302"/>
      <c r="G1" s="302"/>
      <c r="H1" s="302"/>
      <c r="I1" s="302"/>
      <c r="J1" s="302"/>
      <c r="K1" s="302"/>
      <c r="L1" s="302"/>
      <c r="M1" s="302"/>
    </row>
    <row r="3" spans="2:18" ht="23" x14ac:dyDescent="0.35">
      <c r="C3" s="472" t="str">
        <f>"HVAC Inspection Form "&amp;Development!B4&amp;" version - "&amp;Development!B5</f>
        <v>HVAC Inspection Form 2024 version - 2.0</v>
      </c>
      <c r="D3" s="472"/>
      <c r="E3" s="472"/>
      <c r="F3" s="472"/>
      <c r="G3" s="472"/>
      <c r="H3" s="472"/>
      <c r="I3" s="472"/>
      <c r="J3" s="472"/>
      <c r="K3" s="472"/>
      <c r="L3" s="472"/>
      <c r="M3" s="472"/>
      <c r="N3" s="472"/>
      <c r="O3" s="472"/>
    </row>
    <row r="5" spans="2:18" ht="25.5" customHeight="1" x14ac:dyDescent="0.35">
      <c r="C5" s="31" t="s">
        <v>1645</v>
      </c>
      <c r="D5" s="473" t="str">
        <f>IF(WkshtName="","",WkshtName)</f>
        <v>PSEGLI_2023 HVAC Worksheet_VERSION 1.0.xlsm</v>
      </c>
      <c r="E5" s="474"/>
    </row>
    <row r="6" spans="2:18" ht="25.5" customHeight="1" x14ac:dyDescent="0.35">
      <c r="C6" s="31" t="s">
        <v>1226</v>
      </c>
      <c r="D6" s="473" t="str">
        <f>IF('Customer Information'!L42="","",'Customer Information'!L42)</f>
        <v/>
      </c>
      <c r="E6" s="474"/>
    </row>
    <row r="7" spans="2:18" ht="25.5" customHeight="1" x14ac:dyDescent="0.35">
      <c r="C7" s="31" t="s">
        <v>0</v>
      </c>
      <c r="D7" s="473" t="str">
        <f>IF('HVAC Worksheet'!C7="","",'HVAC Worksheet'!C7)</f>
        <v/>
      </c>
      <c r="E7" s="474"/>
      <c r="F7" s="475"/>
      <c r="G7" s="475"/>
      <c r="H7" s="1128" t="s">
        <v>901</v>
      </c>
      <c r="I7" s="1129"/>
      <c r="J7" s="1129"/>
      <c r="K7" s="1129"/>
      <c r="L7" s="1129"/>
      <c r="M7" s="1129"/>
      <c r="N7" s="1129"/>
      <c r="O7" s="1129"/>
      <c r="P7" s="1130"/>
      <c r="R7" s="476"/>
    </row>
    <row r="8" spans="2:18" ht="25.4" customHeight="1" x14ac:dyDescent="0.35">
      <c r="C8" s="31" t="s">
        <v>2</v>
      </c>
      <c r="D8" s="473" t="str">
        <f>IF('HVAC Worksheet'!C8="","",'HVAC Worksheet'!C8)</f>
        <v/>
      </c>
      <c r="E8" s="474"/>
      <c r="F8" s="475"/>
      <c r="G8" s="475"/>
      <c r="H8" s="477"/>
      <c r="I8" s="475"/>
      <c r="J8" s="475"/>
      <c r="K8" s="475"/>
      <c r="L8" s="475"/>
      <c r="M8" s="475"/>
      <c r="N8" s="475"/>
      <c r="O8" s="475"/>
      <c r="P8" s="279"/>
      <c r="R8" s="2"/>
    </row>
    <row r="9" spans="2:18" ht="25.4" customHeight="1" x14ac:dyDescent="0.35">
      <c r="C9" s="31" t="s">
        <v>921</v>
      </c>
      <c r="D9" s="473" t="str">
        <f>IF('HVAC Worksheet'!C9="","",'HVAC Worksheet'!C9)</f>
        <v/>
      </c>
      <c r="E9" s="474"/>
      <c r="F9" s="475"/>
      <c r="H9" s="477"/>
      <c r="I9" s="31" t="s">
        <v>902</v>
      </c>
      <c r="J9" s="1131"/>
      <c r="K9" s="1131"/>
      <c r="L9" s="475"/>
      <c r="M9" s="31" t="s">
        <v>903</v>
      </c>
      <c r="N9" s="1132"/>
      <c r="O9" s="1132"/>
      <c r="P9" s="478"/>
    </row>
    <row r="10" spans="2:18" ht="25.4" customHeight="1" x14ac:dyDescent="0.35">
      <c r="C10" s="31" t="s">
        <v>5</v>
      </c>
      <c r="D10" s="473" t="str">
        <f>IF('HVAC Worksheet'!C10="","",'HVAC Worksheet'!C10)</f>
        <v/>
      </c>
      <c r="E10" s="474"/>
      <c r="F10" s="475"/>
      <c r="H10" s="477"/>
      <c r="I10" s="475"/>
      <c r="J10" s="475"/>
      <c r="M10" s="475"/>
      <c r="N10" s="475"/>
      <c r="O10" s="475"/>
      <c r="P10" s="479"/>
    </row>
    <row r="11" spans="2:18" ht="25.4" customHeight="1" x14ac:dyDescent="0.35">
      <c r="C11" s="31" t="s">
        <v>4</v>
      </c>
      <c r="D11" s="480" t="str">
        <f>IF('HVAC Worksheet'!G9="","",'HVAC Worksheet'!G9)</f>
        <v/>
      </c>
      <c r="E11" s="474" t="str">
        <f>IF('HVAC Worksheet'!E11="","",'HVAC Worksheet'!E11)</f>
        <v/>
      </c>
      <c r="F11" s="475"/>
      <c r="H11" s="477"/>
      <c r="I11" s="31" t="s">
        <v>904</v>
      </c>
      <c r="J11" s="1131"/>
      <c r="K11" s="1131"/>
      <c r="L11" s="475"/>
      <c r="M11" s="31" t="s">
        <v>905</v>
      </c>
      <c r="N11" s="1132"/>
      <c r="O11" s="1132"/>
      <c r="P11" s="478"/>
    </row>
    <row r="12" spans="2:18" ht="25.4" customHeight="1" x14ac:dyDescent="0.35">
      <c r="C12" s="31" t="s">
        <v>8</v>
      </c>
      <c r="D12" s="480" t="str">
        <f>IF('HVAC Worksheet'!G11="","",'HVAC Worksheet'!G11)</f>
        <v/>
      </c>
      <c r="E12" s="474" t="str">
        <f>IF('HVAC Worksheet'!E12="","",'HVAC Worksheet'!E12)</f>
        <v/>
      </c>
      <c r="F12" s="475"/>
      <c r="H12" s="477"/>
      <c r="I12" s="475"/>
      <c r="J12" s="475"/>
      <c r="M12" s="475"/>
      <c r="N12" s="475"/>
      <c r="O12" s="475"/>
      <c r="P12" s="479"/>
    </row>
    <row r="13" spans="2:18" ht="25.4" customHeight="1" x14ac:dyDescent="0.35">
      <c r="C13" s="31" t="s">
        <v>906</v>
      </c>
      <c r="D13" s="473" t="str">
        <f>IF('Whole Building ccASHP Worksheet'!BuildingType="","",'Whole Building ccASHP Worksheet'!BuildingType)</f>
        <v>Select …</v>
      </c>
      <c r="E13" s="474"/>
      <c r="F13" s="475"/>
      <c r="H13" s="477"/>
      <c r="I13" s="31" t="s">
        <v>907</v>
      </c>
      <c r="J13" s="1131"/>
      <c r="K13" s="1131"/>
      <c r="L13" s="475"/>
      <c r="M13" s="31" t="s">
        <v>908</v>
      </c>
      <c r="N13" s="1132"/>
      <c r="O13" s="1132"/>
      <c r="P13" s="478"/>
    </row>
    <row r="14" spans="2:18" ht="25.4" customHeight="1" x14ac:dyDescent="0.35">
      <c r="C14" s="31" t="s">
        <v>1650</v>
      </c>
      <c r="D14" s="576"/>
      <c r="E14" s="577"/>
      <c r="F14" s="475"/>
      <c r="G14" s="475"/>
      <c r="H14" s="738"/>
      <c r="I14" s="475"/>
      <c r="J14" s="475"/>
      <c r="K14" s="475"/>
      <c r="L14" s="475"/>
      <c r="M14" s="475"/>
      <c r="N14" s="475"/>
      <c r="O14" s="475"/>
      <c r="P14" s="279"/>
      <c r="R14" s="2"/>
    </row>
    <row r="15" spans="2:18" ht="25.4" customHeight="1" x14ac:dyDescent="0.35">
      <c r="C15" s="31"/>
      <c r="D15" s="743"/>
      <c r="E15" s="744"/>
      <c r="F15" s="475"/>
      <c r="G15" s="475"/>
      <c r="H15" s="738" t="s">
        <v>2124</v>
      </c>
      <c r="I15" s="475"/>
      <c r="J15" s="475"/>
      <c r="K15" s="475"/>
      <c r="L15" s="475"/>
      <c r="M15" s="475"/>
      <c r="N15" s="475"/>
      <c r="O15" s="475"/>
      <c r="P15" s="279"/>
      <c r="R15" s="2"/>
    </row>
    <row r="16" spans="2:18" ht="25.4" customHeight="1" x14ac:dyDescent="0.35">
      <c r="C16" s="31"/>
      <c r="D16" s="743"/>
      <c r="E16" s="744"/>
      <c r="F16" s="475"/>
      <c r="G16" s="475"/>
      <c r="H16" s="738"/>
      <c r="I16" s="475"/>
      <c r="J16" s="475"/>
      <c r="K16" s="475"/>
      <c r="L16" s="475"/>
      <c r="M16" s="475"/>
      <c r="N16" s="475"/>
      <c r="O16" s="475"/>
      <c r="P16" s="279"/>
      <c r="R16" s="2"/>
    </row>
    <row r="17" spans="1:25" ht="25.4" customHeight="1" x14ac:dyDescent="0.35">
      <c r="C17" s="31"/>
      <c r="D17" s="743"/>
      <c r="E17" s="744"/>
      <c r="F17" s="475"/>
      <c r="G17" s="475"/>
      <c r="H17" s="738" t="s">
        <v>2125</v>
      </c>
      <c r="I17" s="475"/>
      <c r="J17" s="475"/>
      <c r="K17" s="475"/>
      <c r="L17" s="475"/>
      <c r="M17" s="475"/>
      <c r="N17" s="475"/>
      <c r="O17" s="475"/>
      <c r="P17" s="279"/>
      <c r="R17" s="2"/>
    </row>
    <row r="18" spans="1:25" ht="25.4" customHeight="1" x14ac:dyDescent="0.35">
      <c r="C18" s="31"/>
      <c r="D18" s="743"/>
      <c r="E18" s="744"/>
      <c r="F18" s="475"/>
      <c r="G18" s="475"/>
      <c r="H18" s="738"/>
      <c r="I18" s="475"/>
      <c r="J18" s="475"/>
      <c r="K18" s="475"/>
      <c r="L18" s="475"/>
      <c r="M18" s="475"/>
      <c r="N18" s="475"/>
      <c r="O18" s="475"/>
      <c r="P18" s="279"/>
      <c r="R18" s="2"/>
    </row>
    <row r="19" spans="1:25" ht="25.4" customHeight="1" x14ac:dyDescent="0.35">
      <c r="C19" s="31"/>
      <c r="D19" s="743"/>
      <c r="E19" s="744"/>
      <c r="F19" s="475"/>
      <c r="G19" s="475"/>
      <c r="H19" s="738" t="s">
        <v>2126</v>
      </c>
      <c r="I19" s="475"/>
      <c r="J19" s="475"/>
      <c r="K19" s="475"/>
      <c r="L19" s="475"/>
      <c r="M19" s="475"/>
      <c r="N19" s="475"/>
      <c r="O19" s="475"/>
      <c r="P19" s="279"/>
      <c r="R19" s="2"/>
    </row>
    <row r="20" spans="1:25" ht="25.4" customHeight="1" x14ac:dyDescent="0.35">
      <c r="C20" s="31"/>
      <c r="D20" s="743"/>
      <c r="E20" s="744"/>
      <c r="F20" s="475"/>
      <c r="G20" s="475"/>
      <c r="H20" s="738"/>
      <c r="I20" s="475"/>
      <c r="J20" s="475"/>
      <c r="K20" s="475"/>
      <c r="L20" s="475"/>
      <c r="M20" s="475"/>
      <c r="N20" s="475"/>
      <c r="O20" s="475"/>
      <c r="P20" s="279"/>
      <c r="R20" s="2"/>
    </row>
    <row r="21" spans="1:25" ht="25.4" customHeight="1" x14ac:dyDescent="0.35">
      <c r="C21" s="31"/>
      <c r="D21" s="743"/>
      <c r="E21" s="744"/>
      <c r="F21" s="475"/>
      <c r="G21" s="475"/>
      <c r="H21" s="742" t="s">
        <v>2127</v>
      </c>
      <c r="I21" s="474"/>
      <c r="J21" s="474"/>
      <c r="K21" s="474"/>
      <c r="L21" s="474"/>
      <c r="M21" s="474"/>
      <c r="N21" s="474"/>
      <c r="O21" s="474"/>
      <c r="P21" s="278"/>
      <c r="R21" s="2"/>
    </row>
    <row r="22" spans="1:25" ht="25.4" customHeight="1" x14ac:dyDescent="0.35">
      <c r="C22" s="31"/>
      <c r="D22" s="743"/>
      <c r="E22" s="744"/>
      <c r="F22" s="475"/>
      <c r="G22" s="475"/>
      <c r="H22" s="475"/>
      <c r="I22" s="475"/>
      <c r="J22" s="475"/>
      <c r="K22" s="475"/>
      <c r="L22" s="475"/>
      <c r="M22" s="475"/>
      <c r="N22" s="475"/>
      <c r="O22" s="475"/>
      <c r="P22" s="2"/>
      <c r="R22" s="2"/>
    </row>
    <row r="23" spans="1:25" ht="15.5" x14ac:dyDescent="0.35">
      <c r="C23" s="475"/>
      <c r="D23" s="475"/>
      <c r="E23" s="475"/>
      <c r="F23" s="475"/>
      <c r="G23" s="475"/>
      <c r="H23" s="475"/>
      <c r="I23" s="475"/>
      <c r="J23" s="475"/>
      <c r="K23" s="475"/>
      <c r="L23" s="475"/>
      <c r="N23" s="31" t="s">
        <v>1226</v>
      </c>
      <c r="O23" s="1133" t="str">
        <f>IF('HVAC Worksheet'!$C$12="","",'HVAC Worksheet'!$C$12)</f>
        <v/>
      </c>
      <c r="P23" s="1133"/>
    </row>
    <row r="24" spans="1:25" ht="20" x14ac:dyDescent="0.35">
      <c r="B24" s="481" t="s">
        <v>909</v>
      </c>
      <c r="D24" s="482"/>
      <c r="E24" s="482"/>
      <c r="F24" s="482"/>
      <c r="G24" s="482"/>
      <c r="H24" s="482"/>
      <c r="I24" s="482"/>
      <c r="J24" s="482"/>
      <c r="K24" s="482"/>
      <c r="L24" s="482"/>
      <c r="M24" s="482"/>
      <c r="N24" s="482"/>
      <c r="O24" s="482"/>
      <c r="P24" s="482"/>
      <c r="Q24" s="481"/>
      <c r="R24" s="481"/>
      <c r="S24" s="481"/>
      <c r="T24" s="481"/>
      <c r="U24" s="481"/>
      <c r="V24" s="481"/>
      <c r="W24" s="481"/>
      <c r="X24" s="481"/>
      <c r="Y24" s="481"/>
    </row>
    <row r="25" spans="1:25" s="485" customFormat="1" ht="27" customHeight="1" x14ac:dyDescent="0.35">
      <c r="B25" s="483" t="s">
        <v>910</v>
      </c>
      <c r="C25" s="1134" t="s">
        <v>9</v>
      </c>
      <c r="D25" s="1135"/>
      <c r="E25" s="483" t="s">
        <v>1367</v>
      </c>
      <c r="F25" s="483" t="s">
        <v>912</v>
      </c>
      <c r="G25" s="484"/>
      <c r="H25" s="483" t="s">
        <v>23</v>
      </c>
      <c r="I25" s="483" t="s">
        <v>913</v>
      </c>
      <c r="J25" s="483" t="s">
        <v>914</v>
      </c>
      <c r="K25" s="484"/>
      <c r="L25" s="483" t="s">
        <v>915</v>
      </c>
      <c r="M25" s="483" t="s">
        <v>916</v>
      </c>
      <c r="N25" s="1134" t="s">
        <v>356</v>
      </c>
      <c r="O25" s="1136"/>
      <c r="P25" s="1135"/>
    </row>
    <row r="26" spans="1:25" ht="15.5" x14ac:dyDescent="0.35">
      <c r="A26" s="396">
        <v>1</v>
      </c>
      <c r="B26" s="304"/>
      <c r="C26" s="1137" t="str">
        <f>IF('Whole Building ccASHP Worksheet'!X20="","",'Whole Building ccASHP Worksheet'!X20)</f>
        <v/>
      </c>
      <c r="D26" s="1138"/>
      <c r="E26" s="486" t="str">
        <f>IF(OR(C26="",'Whole Building ccASHP Worksheet'!Y20=""),"",'Whole Building ccASHP Worksheet'!Y20)</f>
        <v/>
      </c>
      <c r="F26" s="531"/>
      <c r="H26" s="303"/>
      <c r="I26" s="652" t="str">
        <f>IF('Whole Building ccASHP Worksheet'!AA20="","",'Whole Building ccASHP Worksheet'!AA20)</f>
        <v/>
      </c>
      <c r="J26" s="303"/>
      <c r="L26" s="303"/>
      <c r="M26" s="303"/>
      <c r="N26" s="1139"/>
      <c r="O26" s="1140"/>
      <c r="P26" s="1141"/>
    </row>
    <row r="27" spans="1:25" ht="15.5" x14ac:dyDescent="0.35">
      <c r="A27" s="396">
        <f>A26+1</f>
        <v>2</v>
      </c>
      <c r="B27" s="304"/>
      <c r="C27" s="1137" t="str">
        <f>IF('Whole Building ccASHP Worksheet'!X21="","",'Whole Building ccASHP Worksheet'!X21)</f>
        <v/>
      </c>
      <c r="D27" s="1138"/>
      <c r="E27" s="486" t="str">
        <f>IF(OR(C27="",'Whole Building ccASHP Worksheet'!Y21=""),"",'Whole Building ccASHP Worksheet'!Y21)</f>
        <v/>
      </c>
      <c r="F27" s="531"/>
      <c r="H27" s="303"/>
      <c r="I27" s="652" t="str">
        <f>IF('Whole Building ccASHP Worksheet'!AA21="","",'Whole Building ccASHP Worksheet'!AA21)</f>
        <v/>
      </c>
      <c r="J27" s="303"/>
      <c r="L27" s="303"/>
      <c r="M27" s="303"/>
      <c r="N27" s="1139"/>
      <c r="O27" s="1140"/>
      <c r="P27" s="1141"/>
    </row>
    <row r="28" spans="1:25" ht="15.5" x14ac:dyDescent="0.35">
      <c r="A28" s="396">
        <f t="shared" ref="A28:A50" si="0">A27+1</f>
        <v>3</v>
      </c>
      <c r="B28" s="304"/>
      <c r="C28" s="1137" t="str">
        <f>IF('Whole Building ccASHP Worksheet'!X22="","",'Whole Building ccASHP Worksheet'!X22)</f>
        <v/>
      </c>
      <c r="D28" s="1138"/>
      <c r="E28" s="486" t="str">
        <f>IF(OR(C28="",'Whole Building ccASHP Worksheet'!Y22=""),"",'Whole Building ccASHP Worksheet'!Y22)</f>
        <v/>
      </c>
      <c r="F28" s="531"/>
      <c r="H28" s="303"/>
      <c r="I28" s="652" t="str">
        <f>IF('Whole Building ccASHP Worksheet'!AA22="","",'Whole Building ccASHP Worksheet'!AA22)</f>
        <v/>
      </c>
      <c r="J28" s="303"/>
      <c r="L28" s="303"/>
      <c r="M28" s="303"/>
      <c r="N28" s="1139"/>
      <c r="O28" s="1140"/>
      <c r="P28" s="1141"/>
    </row>
    <row r="29" spans="1:25" ht="15.5" x14ac:dyDescent="0.35">
      <c r="A29" s="396">
        <f t="shared" si="0"/>
        <v>4</v>
      </c>
      <c r="B29" s="304"/>
      <c r="C29" s="1137" t="str">
        <f>IF('Whole Building ccASHP Worksheet'!X23="","",'Whole Building ccASHP Worksheet'!X23)</f>
        <v/>
      </c>
      <c r="D29" s="1138"/>
      <c r="E29" s="486" t="str">
        <f>IF(OR(C29="",'Whole Building ccASHP Worksheet'!Y23=""),"",'Whole Building ccASHP Worksheet'!Y23)</f>
        <v/>
      </c>
      <c r="F29" s="531"/>
      <c r="H29" s="303"/>
      <c r="I29" s="652" t="str">
        <f>IF('Whole Building ccASHP Worksheet'!AA23="","",'Whole Building ccASHP Worksheet'!AA23)</f>
        <v/>
      </c>
      <c r="J29" s="303"/>
      <c r="L29" s="303"/>
      <c r="M29" s="303"/>
      <c r="N29" s="1139"/>
      <c r="O29" s="1140"/>
      <c r="P29" s="1141"/>
    </row>
    <row r="30" spans="1:25" ht="15.5" x14ac:dyDescent="0.35">
      <c r="A30" s="396">
        <f t="shared" si="0"/>
        <v>5</v>
      </c>
      <c r="B30" s="304"/>
      <c r="C30" s="1137" t="str">
        <f>IF('Whole Building ccASHP Worksheet'!X24="","",'Whole Building ccASHP Worksheet'!X24)</f>
        <v/>
      </c>
      <c r="D30" s="1138"/>
      <c r="E30" s="486" t="str">
        <f>IF(OR(C30="",'Whole Building ccASHP Worksheet'!Y24=""),"",'Whole Building ccASHP Worksheet'!Y24)</f>
        <v/>
      </c>
      <c r="F30" s="531"/>
      <c r="H30" s="303"/>
      <c r="I30" s="652" t="str">
        <f>IF('Whole Building ccASHP Worksheet'!AA24="","",'Whole Building ccASHP Worksheet'!AA24)</f>
        <v/>
      </c>
      <c r="J30" s="303"/>
      <c r="L30" s="303"/>
      <c r="M30" s="303"/>
      <c r="N30" s="357"/>
      <c r="O30" s="358"/>
      <c r="P30" s="359"/>
    </row>
    <row r="31" spans="1:25" ht="15.5" x14ac:dyDescent="0.35">
      <c r="A31" s="396">
        <f t="shared" si="0"/>
        <v>6</v>
      </c>
      <c r="B31" s="304"/>
      <c r="C31" s="1137" t="str">
        <f>IF('Whole Building ccASHP Worksheet'!X25="","",'Whole Building ccASHP Worksheet'!X25)</f>
        <v/>
      </c>
      <c r="D31" s="1138"/>
      <c r="E31" s="486" t="str">
        <f>IF(OR(C31="",'Whole Building ccASHP Worksheet'!Y25=""),"",'Whole Building ccASHP Worksheet'!Y25)</f>
        <v/>
      </c>
      <c r="F31" s="531"/>
      <c r="H31" s="303"/>
      <c r="I31" s="652" t="str">
        <f>IF('Whole Building ccASHP Worksheet'!AA25="","",'Whole Building ccASHP Worksheet'!AA25)</f>
        <v/>
      </c>
      <c r="J31" s="303"/>
      <c r="L31" s="303"/>
      <c r="M31" s="303"/>
      <c r="N31" s="357"/>
      <c r="O31" s="358"/>
      <c r="P31" s="359"/>
    </row>
    <row r="32" spans="1:25" ht="15.5" x14ac:dyDescent="0.35">
      <c r="A32" s="396">
        <f t="shared" si="0"/>
        <v>7</v>
      </c>
      <c r="B32" s="304"/>
      <c r="C32" s="1137" t="str">
        <f>IF('Whole Building ccASHP Worksheet'!X26="","",'Whole Building ccASHP Worksheet'!X26)</f>
        <v/>
      </c>
      <c r="D32" s="1138"/>
      <c r="E32" s="486" t="str">
        <f>IF(OR(C32="",'Whole Building ccASHP Worksheet'!Y26=""),"",'Whole Building ccASHP Worksheet'!Y26)</f>
        <v/>
      </c>
      <c r="F32" s="531"/>
      <c r="H32" s="303"/>
      <c r="I32" s="652" t="str">
        <f>IF('Whole Building ccASHP Worksheet'!AA26="","",'Whole Building ccASHP Worksheet'!AA26)</f>
        <v/>
      </c>
      <c r="J32" s="303"/>
      <c r="L32" s="303"/>
      <c r="M32" s="303"/>
      <c r="N32" s="357"/>
      <c r="O32" s="358"/>
      <c r="P32" s="359"/>
    </row>
    <row r="33" spans="1:16" ht="15.5" x14ac:dyDescent="0.35">
      <c r="A33" s="396">
        <f t="shared" si="0"/>
        <v>8</v>
      </c>
      <c r="B33" s="304"/>
      <c r="C33" s="1137" t="str">
        <f>IF('Whole Building ccASHP Worksheet'!X27="","",'Whole Building ccASHP Worksheet'!X27)</f>
        <v/>
      </c>
      <c r="D33" s="1138"/>
      <c r="E33" s="486" t="str">
        <f>IF(OR(C33="",'Whole Building ccASHP Worksheet'!Y27=""),"",'Whole Building ccASHP Worksheet'!Y27)</f>
        <v/>
      </c>
      <c r="F33" s="531"/>
      <c r="H33" s="303"/>
      <c r="I33" s="652" t="str">
        <f>IF('Whole Building ccASHP Worksheet'!AA27="","",'Whole Building ccASHP Worksheet'!AA27)</f>
        <v/>
      </c>
      <c r="J33" s="303"/>
      <c r="L33" s="303"/>
      <c r="M33" s="303"/>
      <c r="N33" s="357"/>
      <c r="O33" s="358"/>
      <c r="P33" s="359"/>
    </row>
    <row r="34" spans="1:16" ht="15.5" x14ac:dyDescent="0.35">
      <c r="A34" s="396">
        <f t="shared" si="0"/>
        <v>9</v>
      </c>
      <c r="B34" s="304"/>
      <c r="C34" s="1137" t="str">
        <f>IF('Whole Building ccASHP Worksheet'!X28="","",'Whole Building ccASHP Worksheet'!X28)</f>
        <v/>
      </c>
      <c r="D34" s="1138"/>
      <c r="E34" s="486" t="str">
        <f>IF(OR(C34="",'Whole Building ccASHP Worksheet'!Y28=""),"",'Whole Building ccASHP Worksheet'!Y28)</f>
        <v/>
      </c>
      <c r="F34" s="531"/>
      <c r="H34" s="303"/>
      <c r="I34" s="652" t="str">
        <f>IF('Whole Building ccASHP Worksheet'!AA28="","",'Whole Building ccASHP Worksheet'!AA28)</f>
        <v/>
      </c>
      <c r="J34" s="303"/>
      <c r="L34" s="303"/>
      <c r="M34" s="303"/>
      <c r="N34" s="357"/>
      <c r="O34" s="358"/>
      <c r="P34" s="359"/>
    </row>
    <row r="35" spans="1:16" ht="15.5" x14ac:dyDescent="0.35">
      <c r="A35" s="396">
        <f t="shared" si="0"/>
        <v>10</v>
      </c>
      <c r="B35" s="304"/>
      <c r="C35" s="1137" t="str">
        <f>IF('Whole Building ccASHP Worksheet'!X29="","",'Whole Building ccASHP Worksheet'!X29)</f>
        <v/>
      </c>
      <c r="D35" s="1138"/>
      <c r="E35" s="486" t="str">
        <f>IF(OR(C35="",'Whole Building ccASHP Worksheet'!Y29=""),"",'Whole Building ccASHP Worksheet'!Y29)</f>
        <v/>
      </c>
      <c r="F35" s="531"/>
      <c r="H35" s="303"/>
      <c r="I35" s="652" t="str">
        <f>IF('Whole Building ccASHP Worksheet'!AA29="","",'Whole Building ccASHP Worksheet'!AA29)</f>
        <v/>
      </c>
      <c r="J35" s="303"/>
      <c r="L35" s="303"/>
      <c r="M35" s="303"/>
      <c r="N35" s="357"/>
      <c r="O35" s="358"/>
      <c r="P35" s="359"/>
    </row>
    <row r="36" spans="1:16" ht="15.5" x14ac:dyDescent="0.35">
      <c r="A36" s="396">
        <f t="shared" si="0"/>
        <v>11</v>
      </c>
      <c r="B36" s="304"/>
      <c r="C36" s="1137" t="str">
        <f>IF('Whole Building ccASHP Worksheet'!X30="","",'Whole Building ccASHP Worksheet'!X30)</f>
        <v/>
      </c>
      <c r="D36" s="1138"/>
      <c r="E36" s="486" t="str">
        <f>IF(OR(C36="",'Whole Building ccASHP Worksheet'!Y30=""),"",'Whole Building ccASHP Worksheet'!Y30)</f>
        <v/>
      </c>
      <c r="F36" s="531"/>
      <c r="H36" s="303"/>
      <c r="I36" s="652" t="str">
        <f>IF('Whole Building ccASHP Worksheet'!AA30="","",'Whole Building ccASHP Worksheet'!AA30)</f>
        <v/>
      </c>
      <c r="J36" s="303"/>
      <c r="L36" s="303"/>
      <c r="M36" s="303"/>
      <c r="N36" s="357"/>
      <c r="O36" s="358"/>
      <c r="P36" s="359"/>
    </row>
    <row r="37" spans="1:16" ht="15.5" x14ac:dyDescent="0.35">
      <c r="A37" s="396">
        <f t="shared" si="0"/>
        <v>12</v>
      </c>
      <c r="B37" s="304"/>
      <c r="C37" s="1137" t="str">
        <f>IF('Whole Building ccASHP Worksheet'!X31="","",'Whole Building ccASHP Worksheet'!X31)</f>
        <v/>
      </c>
      <c r="D37" s="1138"/>
      <c r="E37" s="486" t="str">
        <f>IF(OR(C37="",'Whole Building ccASHP Worksheet'!Y31=""),"",'Whole Building ccASHP Worksheet'!Y31)</f>
        <v/>
      </c>
      <c r="F37" s="531"/>
      <c r="H37" s="303"/>
      <c r="I37" s="652" t="str">
        <f>IF('Whole Building ccASHP Worksheet'!AA31="","",'Whole Building ccASHP Worksheet'!AA31)</f>
        <v/>
      </c>
      <c r="J37" s="303"/>
      <c r="L37" s="303"/>
      <c r="M37" s="303"/>
      <c r="N37" s="357"/>
      <c r="O37" s="358"/>
      <c r="P37" s="359"/>
    </row>
    <row r="38" spans="1:16" ht="15.5" x14ac:dyDescent="0.35">
      <c r="A38" s="396">
        <f t="shared" si="0"/>
        <v>13</v>
      </c>
      <c r="B38" s="304"/>
      <c r="C38" s="1137" t="str">
        <f>IF('Whole Building ccASHP Worksheet'!X32="","",'Whole Building ccASHP Worksheet'!X32)</f>
        <v/>
      </c>
      <c r="D38" s="1138"/>
      <c r="E38" s="486" t="str">
        <f>IF(OR(C38="",'Whole Building ccASHP Worksheet'!Y32=""),"",'Whole Building ccASHP Worksheet'!Y32)</f>
        <v/>
      </c>
      <c r="F38" s="531"/>
      <c r="H38" s="303"/>
      <c r="I38" s="652" t="str">
        <f>IF('Whole Building ccASHP Worksheet'!AA32="","",'Whole Building ccASHP Worksheet'!AA32)</f>
        <v/>
      </c>
      <c r="J38" s="303"/>
      <c r="L38" s="303"/>
      <c r="M38" s="303"/>
      <c r="N38" s="357"/>
      <c r="O38" s="358"/>
      <c r="P38" s="359"/>
    </row>
    <row r="39" spans="1:16" ht="15.5" x14ac:dyDescent="0.35">
      <c r="A39" s="396">
        <f t="shared" si="0"/>
        <v>14</v>
      </c>
      <c r="B39" s="304"/>
      <c r="C39" s="1137" t="str">
        <f>IF('Whole Building ccASHP Worksheet'!X33="","",'Whole Building ccASHP Worksheet'!X33)</f>
        <v/>
      </c>
      <c r="D39" s="1138"/>
      <c r="E39" s="486" t="str">
        <f>IF(OR(C39="",'Whole Building ccASHP Worksheet'!Y33=""),"",'Whole Building ccASHP Worksheet'!Y33)</f>
        <v/>
      </c>
      <c r="F39" s="531"/>
      <c r="H39" s="303"/>
      <c r="I39" s="652" t="str">
        <f>IF('Whole Building ccASHP Worksheet'!AA33="","",'Whole Building ccASHP Worksheet'!AA33)</f>
        <v/>
      </c>
      <c r="J39" s="303"/>
      <c r="L39" s="303"/>
      <c r="M39" s="303"/>
      <c r="N39" s="357"/>
      <c r="O39" s="358"/>
      <c r="P39" s="359"/>
    </row>
    <row r="40" spans="1:16" ht="15.5" x14ac:dyDescent="0.35">
      <c r="A40" s="396">
        <f t="shared" si="0"/>
        <v>15</v>
      </c>
      <c r="B40" s="304"/>
      <c r="C40" s="1137" t="str">
        <f>IF('Whole Building ccASHP Worksheet'!X34="","",'Whole Building ccASHP Worksheet'!X34)</f>
        <v/>
      </c>
      <c r="D40" s="1138"/>
      <c r="E40" s="486" t="str">
        <f>IF(OR(C40="",'Whole Building ccASHP Worksheet'!Y34=""),"",'Whole Building ccASHP Worksheet'!Y34)</f>
        <v/>
      </c>
      <c r="F40" s="531"/>
      <c r="H40" s="303"/>
      <c r="I40" s="652" t="str">
        <f>IF('Whole Building ccASHP Worksheet'!AA34="","",'Whole Building ccASHP Worksheet'!AA34)</f>
        <v/>
      </c>
      <c r="J40" s="303"/>
      <c r="L40" s="303"/>
      <c r="M40" s="303"/>
      <c r="N40" s="357"/>
      <c r="O40" s="358"/>
      <c r="P40" s="359"/>
    </row>
    <row r="41" spans="1:16" ht="15.5" x14ac:dyDescent="0.35">
      <c r="A41" s="396">
        <f t="shared" si="0"/>
        <v>16</v>
      </c>
      <c r="B41" s="304"/>
      <c r="C41" s="1137" t="str">
        <f>IF('Whole Building ccASHP Worksheet'!X35="","",'Whole Building ccASHP Worksheet'!X35)</f>
        <v/>
      </c>
      <c r="D41" s="1138"/>
      <c r="E41" s="486" t="str">
        <f>IF(OR(C41="",'Whole Building ccASHP Worksheet'!Y35=""),"",'Whole Building ccASHP Worksheet'!Y35)</f>
        <v/>
      </c>
      <c r="F41" s="531"/>
      <c r="H41" s="303"/>
      <c r="I41" s="652" t="str">
        <f>IF('Whole Building ccASHP Worksheet'!AA35="","",'Whole Building ccASHP Worksheet'!AA35)</f>
        <v/>
      </c>
      <c r="J41" s="303"/>
      <c r="L41" s="303"/>
      <c r="M41" s="303"/>
      <c r="N41" s="357"/>
      <c r="O41" s="358"/>
      <c r="P41" s="359"/>
    </row>
    <row r="42" spans="1:16" ht="15.5" x14ac:dyDescent="0.35">
      <c r="A42" s="396">
        <f t="shared" si="0"/>
        <v>17</v>
      </c>
      <c r="B42" s="304"/>
      <c r="C42" s="1137" t="str">
        <f>IF('Whole Building ccASHP Worksheet'!X36="","",'Whole Building ccASHP Worksheet'!X36)</f>
        <v/>
      </c>
      <c r="D42" s="1138"/>
      <c r="E42" s="486" t="str">
        <f>IF(OR(C42="",'Whole Building ccASHP Worksheet'!Y36=""),"",'Whole Building ccASHP Worksheet'!Y36)</f>
        <v/>
      </c>
      <c r="F42" s="531"/>
      <c r="H42" s="303"/>
      <c r="I42" s="652" t="str">
        <f>IF('Whole Building ccASHP Worksheet'!AA36="","",'Whole Building ccASHP Worksheet'!AA36)</f>
        <v/>
      </c>
      <c r="J42" s="303"/>
      <c r="L42" s="303"/>
      <c r="M42" s="303"/>
      <c r="N42" s="357"/>
      <c r="O42" s="358"/>
      <c r="P42" s="359"/>
    </row>
    <row r="43" spans="1:16" ht="15.5" x14ac:dyDescent="0.35">
      <c r="A43" s="396">
        <f t="shared" si="0"/>
        <v>18</v>
      </c>
      <c r="B43" s="304"/>
      <c r="C43" s="1137" t="str">
        <f>IF('Whole Building ccASHP Worksheet'!X37="","",'Whole Building ccASHP Worksheet'!X37)</f>
        <v/>
      </c>
      <c r="D43" s="1138"/>
      <c r="E43" s="486" t="str">
        <f>IF(OR(C43="",'Whole Building ccASHP Worksheet'!Y37=""),"",'Whole Building ccASHP Worksheet'!Y37)</f>
        <v/>
      </c>
      <c r="F43" s="531"/>
      <c r="H43" s="303"/>
      <c r="I43" s="652" t="str">
        <f>IF('Whole Building ccASHP Worksheet'!AA37="","",'Whole Building ccASHP Worksheet'!AA37)</f>
        <v/>
      </c>
      <c r="J43" s="303"/>
      <c r="L43" s="303"/>
      <c r="M43" s="303"/>
      <c r="N43" s="357"/>
      <c r="O43" s="358"/>
      <c r="P43" s="359"/>
    </row>
    <row r="44" spans="1:16" ht="15.5" x14ac:dyDescent="0.35">
      <c r="A44" s="396">
        <f t="shared" si="0"/>
        <v>19</v>
      </c>
      <c r="B44" s="304"/>
      <c r="C44" s="1137" t="str">
        <f>IF('Whole Building ccASHP Worksheet'!X38="","",'Whole Building ccASHP Worksheet'!X38)</f>
        <v/>
      </c>
      <c r="D44" s="1138"/>
      <c r="E44" s="486" t="str">
        <f>IF(OR(C44="",'Whole Building ccASHP Worksheet'!Y38=""),"",'Whole Building ccASHP Worksheet'!Y38)</f>
        <v/>
      </c>
      <c r="F44" s="531"/>
      <c r="H44" s="303"/>
      <c r="I44" s="652" t="str">
        <f>IF('Whole Building ccASHP Worksheet'!AA38="","",'Whole Building ccASHP Worksheet'!AA38)</f>
        <v/>
      </c>
      <c r="J44" s="303"/>
      <c r="L44" s="303"/>
      <c r="M44" s="303"/>
      <c r="N44" s="357"/>
      <c r="O44" s="358"/>
      <c r="P44" s="359"/>
    </row>
    <row r="45" spans="1:16" ht="15.5" x14ac:dyDescent="0.35">
      <c r="A45" s="396">
        <f>A44+1</f>
        <v>20</v>
      </c>
      <c r="B45" s="304"/>
      <c r="C45" s="1137" t="str">
        <f>IF('Whole Building ccASHP Worksheet'!X39="","",'Whole Building ccASHP Worksheet'!X39)</f>
        <v/>
      </c>
      <c r="D45" s="1138"/>
      <c r="E45" s="486" t="str">
        <f>IF(OR(C45="",'Whole Building ccASHP Worksheet'!Y39=""),"",'Whole Building ccASHP Worksheet'!Y39)</f>
        <v/>
      </c>
      <c r="F45" s="531"/>
      <c r="H45" s="303"/>
      <c r="I45" s="652" t="str">
        <f>IF('Whole Building ccASHP Worksheet'!AA39="","",'Whole Building ccASHP Worksheet'!AA39)</f>
        <v/>
      </c>
      <c r="J45" s="303"/>
      <c r="L45" s="303"/>
      <c r="M45" s="303"/>
      <c r="N45" s="357"/>
      <c r="O45" s="358"/>
      <c r="P45" s="359"/>
    </row>
    <row r="46" spans="1:16" ht="15.5" x14ac:dyDescent="0.35">
      <c r="A46" s="396">
        <f t="shared" si="0"/>
        <v>21</v>
      </c>
      <c r="B46" s="304"/>
      <c r="C46" s="1137" t="str">
        <f>IF('Whole Building ccASHP Worksheet'!X40="","",'Whole Building ccASHP Worksheet'!X40)</f>
        <v/>
      </c>
      <c r="D46" s="1138"/>
      <c r="E46" s="486" t="str">
        <f>IF(OR(C46="",'Whole Building ccASHP Worksheet'!Y40=""),"",'Whole Building ccASHP Worksheet'!Y40)</f>
        <v/>
      </c>
      <c r="F46" s="531"/>
      <c r="H46" s="303"/>
      <c r="I46" s="652" t="str">
        <f>IF('Whole Building ccASHP Worksheet'!AA40="","",'Whole Building ccASHP Worksheet'!AA40)</f>
        <v/>
      </c>
      <c r="J46" s="303"/>
      <c r="L46" s="303"/>
      <c r="M46" s="303"/>
      <c r="N46" s="1139"/>
      <c r="O46" s="1140"/>
      <c r="P46" s="1141"/>
    </row>
    <row r="47" spans="1:16" ht="15.5" x14ac:dyDescent="0.35">
      <c r="A47" s="396">
        <f t="shared" si="0"/>
        <v>22</v>
      </c>
      <c r="B47" s="304"/>
      <c r="C47" s="1137" t="str">
        <f>IF('Whole Building ccASHP Worksheet'!X41="","",'Whole Building ccASHP Worksheet'!X41)</f>
        <v/>
      </c>
      <c r="D47" s="1138"/>
      <c r="E47" s="486" t="str">
        <f>IF(OR(C47="",'Whole Building ccASHP Worksheet'!Y41=""),"",'Whole Building ccASHP Worksheet'!Y41)</f>
        <v/>
      </c>
      <c r="F47" s="531"/>
      <c r="H47" s="303"/>
      <c r="I47" s="652" t="str">
        <f>IF('Whole Building ccASHP Worksheet'!AA41="","",'Whole Building ccASHP Worksheet'!AA41)</f>
        <v/>
      </c>
      <c r="J47" s="303"/>
      <c r="L47" s="303"/>
      <c r="M47" s="303"/>
      <c r="N47" s="1139"/>
      <c r="O47" s="1140"/>
      <c r="P47" s="1141"/>
    </row>
    <row r="48" spans="1:16" ht="15.5" x14ac:dyDescent="0.35">
      <c r="A48" s="396">
        <f t="shared" si="0"/>
        <v>23</v>
      </c>
      <c r="B48" s="304"/>
      <c r="C48" s="1137" t="str">
        <f>IF('Whole Building ccASHP Worksheet'!X42="","",'Whole Building ccASHP Worksheet'!X42)</f>
        <v/>
      </c>
      <c r="D48" s="1138"/>
      <c r="E48" s="486" t="str">
        <f>IF(OR(C48="",'Whole Building ccASHP Worksheet'!Y42=""),"",'Whole Building ccASHP Worksheet'!Y42)</f>
        <v/>
      </c>
      <c r="F48" s="531"/>
      <c r="H48" s="303"/>
      <c r="I48" s="652" t="str">
        <f>IF('Whole Building ccASHP Worksheet'!AA42="","",'Whole Building ccASHP Worksheet'!AA42)</f>
        <v/>
      </c>
      <c r="J48" s="303"/>
      <c r="L48" s="303"/>
      <c r="M48" s="303"/>
      <c r="N48" s="1139"/>
      <c r="O48" s="1140"/>
      <c r="P48" s="1141"/>
    </row>
    <row r="49" spans="1:17" ht="15.5" x14ac:dyDescent="0.35">
      <c r="A49" s="396">
        <f t="shared" si="0"/>
        <v>24</v>
      </c>
      <c r="B49" s="304"/>
      <c r="C49" s="1137" t="str">
        <f>IF('Whole Building ccASHP Worksheet'!X43="","",'Whole Building ccASHP Worksheet'!X43)</f>
        <v/>
      </c>
      <c r="D49" s="1138"/>
      <c r="E49" s="486" t="str">
        <f>IF(OR(C49="",'Whole Building ccASHP Worksheet'!Y43=""),"",'Whole Building ccASHP Worksheet'!Y43)</f>
        <v/>
      </c>
      <c r="F49" s="531"/>
      <c r="H49" s="303"/>
      <c r="I49" s="652" t="str">
        <f>IF('Whole Building ccASHP Worksheet'!AA43="","",'Whole Building ccASHP Worksheet'!AA43)</f>
        <v/>
      </c>
      <c r="J49" s="303"/>
      <c r="L49" s="303"/>
      <c r="M49" s="303"/>
      <c r="N49" s="1139"/>
      <c r="O49" s="1140"/>
      <c r="P49" s="1141"/>
    </row>
    <row r="50" spans="1:17" ht="15.5" x14ac:dyDescent="0.35">
      <c r="A50" s="396">
        <f t="shared" si="0"/>
        <v>25</v>
      </c>
      <c r="B50" s="304"/>
      <c r="C50" s="1137" t="str">
        <f>IF('Whole Building ccASHP Worksheet'!X44="","",'Whole Building ccASHP Worksheet'!X44)</f>
        <v/>
      </c>
      <c r="D50" s="1138"/>
      <c r="E50" s="486" t="str">
        <f>IF(OR(C50="",'Whole Building ccASHP Worksheet'!Y44=""),"",'Whole Building ccASHP Worksheet'!Y44)</f>
        <v/>
      </c>
      <c r="F50" s="531"/>
      <c r="H50" s="303"/>
      <c r="I50" s="652" t="str">
        <f>IF('Whole Building ccASHP Worksheet'!AA44="","",'Whole Building ccASHP Worksheet'!AA44)</f>
        <v/>
      </c>
      <c r="J50" s="303"/>
      <c r="L50" s="303"/>
      <c r="M50" s="303"/>
      <c r="N50" s="1139"/>
      <c r="O50" s="1140"/>
      <c r="P50" s="1141"/>
    </row>
    <row r="52" spans="1:17" ht="20" x14ac:dyDescent="0.35">
      <c r="B52" s="481" t="s">
        <v>917</v>
      </c>
      <c r="D52" s="482"/>
      <c r="E52" s="482"/>
      <c r="F52" s="482"/>
      <c r="G52" s="482"/>
      <c r="H52" s="482"/>
      <c r="I52" s="482"/>
      <c r="J52" s="482"/>
      <c r="K52" s="482"/>
      <c r="L52" s="482"/>
      <c r="M52" s="482"/>
      <c r="N52" s="482"/>
      <c r="O52" s="482"/>
      <c r="P52" s="482"/>
      <c r="Q52" s="481"/>
    </row>
    <row r="53" spans="1:17" ht="27.65" customHeight="1" x14ac:dyDescent="0.35">
      <c r="B53" s="483" t="s">
        <v>910</v>
      </c>
      <c r="C53" s="1134" t="s">
        <v>9</v>
      </c>
      <c r="D53" s="1135"/>
      <c r="E53" s="483" t="s">
        <v>1629</v>
      </c>
      <c r="F53" s="483" t="s">
        <v>1630</v>
      </c>
      <c r="G53" s="484"/>
      <c r="H53" s="483" t="s">
        <v>23</v>
      </c>
      <c r="I53" s="483" t="s">
        <v>913</v>
      </c>
      <c r="J53" s="483" t="s">
        <v>914</v>
      </c>
      <c r="K53" s="484"/>
      <c r="L53" s="483" t="s">
        <v>915</v>
      </c>
      <c r="M53" s="483" t="s">
        <v>916</v>
      </c>
      <c r="N53" s="1134" t="s">
        <v>356</v>
      </c>
      <c r="O53" s="1136"/>
      <c r="P53" s="1135"/>
    </row>
    <row r="54" spans="1:17" ht="15.5" x14ac:dyDescent="0.35">
      <c r="A54" s="396">
        <v>1</v>
      </c>
      <c r="B54" s="304"/>
      <c r="C54" s="1137" t="str">
        <f>IF('Whole Building ccASHP Worksheet'!B20="","",'Whole Building ccASHP Worksheet'!B20)</f>
        <v/>
      </c>
      <c r="D54" s="1138"/>
      <c r="E54" s="486" t="str">
        <f>IF('Whole Building ccASHP Worksheet'!I20="","",'Whole Building ccASHP Worksheet'!I20)</f>
        <v/>
      </c>
      <c r="F54" s="486" t="str">
        <f>IF('Whole Building ccASHP Worksheet'!J20="","",'Whole Building ccASHP Worksheet'!J20)</f>
        <v/>
      </c>
      <c r="G54" s="475"/>
      <c r="H54" s="652" t="str">
        <f>IF('Whole Building ccASHP Worksheet'!F20="","",'Whole Building ccASHP Worksheet'!F20)</f>
        <v/>
      </c>
      <c r="I54" s="652" t="str">
        <f>IF('Whole Building ccASHP Worksheet'!G20="","",'Whole Building ccASHP Worksheet'!G20)</f>
        <v/>
      </c>
      <c r="J54" s="303"/>
      <c r="K54" s="475"/>
      <c r="L54" s="303"/>
      <c r="M54" s="303"/>
      <c r="N54" s="1125"/>
      <c r="O54" s="1126"/>
      <c r="P54" s="1127"/>
    </row>
    <row r="55" spans="1:17" ht="15.5" x14ac:dyDescent="0.35">
      <c r="A55" s="396">
        <f>A54+1</f>
        <v>2</v>
      </c>
      <c r="B55" s="304"/>
      <c r="C55" s="1137" t="str">
        <f>IF('Whole Building ccASHP Worksheet'!B21="","",'Whole Building ccASHP Worksheet'!B21)</f>
        <v/>
      </c>
      <c r="D55" s="1138"/>
      <c r="E55" s="486" t="str">
        <f>IF('Whole Building ccASHP Worksheet'!I21="","",'Whole Building ccASHP Worksheet'!I21)</f>
        <v/>
      </c>
      <c r="F55" s="486" t="str">
        <f>IF('Whole Building ccASHP Worksheet'!J21="","",'Whole Building ccASHP Worksheet'!J21)</f>
        <v/>
      </c>
      <c r="G55" s="475"/>
      <c r="H55" s="652" t="str">
        <f>IF('Whole Building ccASHP Worksheet'!F21="","",'Whole Building ccASHP Worksheet'!F21)</f>
        <v/>
      </c>
      <c r="I55" s="652" t="str">
        <f>IF('Whole Building ccASHP Worksheet'!G21="","",'Whole Building ccASHP Worksheet'!G21)</f>
        <v/>
      </c>
      <c r="J55" s="303"/>
      <c r="K55" s="475"/>
      <c r="L55" s="303"/>
      <c r="M55" s="303"/>
      <c r="N55" s="1125"/>
      <c r="O55" s="1126"/>
      <c r="P55" s="1127"/>
    </row>
    <row r="56" spans="1:17" ht="15.5" x14ac:dyDescent="0.35">
      <c r="A56" s="396">
        <f t="shared" ref="A56:A77" si="1">A55+1</f>
        <v>3</v>
      </c>
      <c r="B56" s="304"/>
      <c r="C56" s="1137" t="str">
        <f>IF('Whole Building ccASHP Worksheet'!B22="","",'Whole Building ccASHP Worksheet'!B22)</f>
        <v/>
      </c>
      <c r="D56" s="1138"/>
      <c r="E56" s="486" t="str">
        <f>IF('Whole Building ccASHP Worksheet'!I22="","",'Whole Building ccASHP Worksheet'!I22)</f>
        <v/>
      </c>
      <c r="F56" s="486" t="str">
        <f>IF('Whole Building ccASHP Worksheet'!J22="","",'Whole Building ccASHP Worksheet'!J22)</f>
        <v/>
      </c>
      <c r="G56" s="475"/>
      <c r="H56" s="652" t="str">
        <f>IF('Whole Building ccASHP Worksheet'!F22="","",'Whole Building ccASHP Worksheet'!F22)</f>
        <v/>
      </c>
      <c r="I56" s="652" t="str">
        <f>IF('Whole Building ccASHP Worksheet'!G22="","",'Whole Building ccASHP Worksheet'!G22)</f>
        <v/>
      </c>
      <c r="J56" s="303"/>
      <c r="K56" s="475"/>
      <c r="L56" s="303"/>
      <c r="M56" s="303"/>
      <c r="N56" s="1125"/>
      <c r="O56" s="1126"/>
      <c r="P56" s="1127"/>
    </row>
    <row r="57" spans="1:17" ht="15.5" x14ac:dyDescent="0.35">
      <c r="A57" s="396">
        <f t="shared" si="1"/>
        <v>4</v>
      </c>
      <c r="B57" s="304"/>
      <c r="C57" s="1137" t="str">
        <f>IF('Whole Building ccASHP Worksheet'!B23="","",'Whole Building ccASHP Worksheet'!B23)</f>
        <v/>
      </c>
      <c r="D57" s="1138"/>
      <c r="E57" s="486" t="str">
        <f>IF('Whole Building ccASHP Worksheet'!I23="","",'Whole Building ccASHP Worksheet'!I23)</f>
        <v/>
      </c>
      <c r="F57" s="486" t="str">
        <f>IF('Whole Building ccASHP Worksheet'!J23="","",'Whole Building ccASHP Worksheet'!J23)</f>
        <v/>
      </c>
      <c r="G57" s="475"/>
      <c r="H57" s="652" t="str">
        <f>IF('Whole Building ccASHP Worksheet'!F23="","",'Whole Building ccASHP Worksheet'!F23)</f>
        <v/>
      </c>
      <c r="I57" s="652" t="str">
        <f>IF('Whole Building ccASHP Worksheet'!G23="","",'Whole Building ccASHP Worksheet'!G23)</f>
        <v/>
      </c>
      <c r="J57" s="303"/>
      <c r="K57" s="475"/>
      <c r="L57" s="303"/>
      <c r="M57" s="303"/>
      <c r="N57" s="1125"/>
      <c r="O57" s="1126"/>
      <c r="P57" s="1127"/>
    </row>
    <row r="58" spans="1:17" ht="15.5" x14ac:dyDescent="0.35">
      <c r="A58" s="396">
        <f t="shared" si="1"/>
        <v>5</v>
      </c>
      <c r="B58" s="304"/>
      <c r="C58" s="1137" t="str">
        <f>IF('Whole Building ccASHP Worksheet'!B24="","",'Whole Building ccASHP Worksheet'!B24)</f>
        <v/>
      </c>
      <c r="D58" s="1138"/>
      <c r="E58" s="486" t="str">
        <f>IF('Whole Building ccASHP Worksheet'!I24="","",'Whole Building ccASHP Worksheet'!I24)</f>
        <v/>
      </c>
      <c r="F58" s="486" t="str">
        <f>IF('Whole Building ccASHP Worksheet'!J24="","",'Whole Building ccASHP Worksheet'!J24)</f>
        <v/>
      </c>
      <c r="G58" s="475"/>
      <c r="H58" s="652" t="str">
        <f>IF('Whole Building ccASHP Worksheet'!F24="","",'Whole Building ccASHP Worksheet'!F24)</f>
        <v/>
      </c>
      <c r="I58" s="652" t="str">
        <f>IF('Whole Building ccASHP Worksheet'!G24="","",'Whole Building ccASHP Worksheet'!G24)</f>
        <v/>
      </c>
      <c r="J58" s="303"/>
      <c r="K58" s="475"/>
      <c r="L58" s="303"/>
      <c r="M58" s="303"/>
      <c r="N58" s="1125"/>
      <c r="O58" s="1126"/>
      <c r="P58" s="1127"/>
    </row>
    <row r="59" spans="1:17" ht="15.5" x14ac:dyDescent="0.35">
      <c r="A59" s="396">
        <f t="shared" si="1"/>
        <v>6</v>
      </c>
      <c r="B59" s="304"/>
      <c r="C59" s="1137" t="str">
        <f>IF('Whole Building ccASHP Worksheet'!B25="","",'Whole Building ccASHP Worksheet'!B25)</f>
        <v/>
      </c>
      <c r="D59" s="1138"/>
      <c r="E59" s="486" t="str">
        <f>IF('Whole Building ccASHP Worksheet'!I25="","",'Whole Building ccASHP Worksheet'!I25)</f>
        <v/>
      </c>
      <c r="F59" s="486" t="str">
        <f>IF('Whole Building ccASHP Worksheet'!J25="","",'Whole Building ccASHP Worksheet'!J25)</f>
        <v/>
      </c>
      <c r="G59" s="475"/>
      <c r="H59" s="652" t="str">
        <f>IF('Whole Building ccASHP Worksheet'!F25="","",'Whole Building ccASHP Worksheet'!F25)</f>
        <v/>
      </c>
      <c r="I59" s="652" t="str">
        <f>IF('Whole Building ccASHP Worksheet'!G25="","",'Whole Building ccASHP Worksheet'!G25)</f>
        <v/>
      </c>
      <c r="J59" s="303"/>
      <c r="K59" s="475"/>
      <c r="L59" s="303"/>
      <c r="M59" s="303"/>
      <c r="N59" s="1125"/>
      <c r="O59" s="1126"/>
      <c r="P59" s="1127"/>
    </row>
    <row r="60" spans="1:17" ht="15.5" x14ac:dyDescent="0.35">
      <c r="A60" s="396">
        <f t="shared" si="1"/>
        <v>7</v>
      </c>
      <c r="B60" s="304"/>
      <c r="C60" s="1137" t="str">
        <f>IF('Whole Building ccASHP Worksheet'!B26="","",'Whole Building ccASHP Worksheet'!B26)</f>
        <v/>
      </c>
      <c r="D60" s="1138"/>
      <c r="E60" s="486" t="str">
        <f>IF('Whole Building ccASHP Worksheet'!I26="","",'Whole Building ccASHP Worksheet'!I26)</f>
        <v/>
      </c>
      <c r="F60" s="486" t="str">
        <f>IF('Whole Building ccASHP Worksheet'!J26="","",'Whole Building ccASHP Worksheet'!J26)</f>
        <v/>
      </c>
      <c r="G60" s="475"/>
      <c r="H60" s="652" t="str">
        <f>IF('Whole Building ccASHP Worksheet'!F26="","",'Whole Building ccASHP Worksheet'!F26)</f>
        <v/>
      </c>
      <c r="I60" s="652" t="str">
        <f>IF('Whole Building ccASHP Worksheet'!G26="","",'Whole Building ccASHP Worksheet'!G26)</f>
        <v/>
      </c>
      <c r="J60" s="303"/>
      <c r="K60" s="475"/>
      <c r="L60" s="303"/>
      <c r="M60" s="303"/>
      <c r="N60" s="354"/>
      <c r="O60" s="355"/>
      <c r="P60" s="356"/>
    </row>
    <row r="61" spans="1:17" ht="15.5" x14ac:dyDescent="0.35">
      <c r="A61" s="396">
        <f t="shared" si="1"/>
        <v>8</v>
      </c>
      <c r="B61" s="304"/>
      <c r="C61" s="1137" t="str">
        <f>IF('Whole Building ccASHP Worksheet'!B27="","",'Whole Building ccASHP Worksheet'!B27)</f>
        <v/>
      </c>
      <c r="D61" s="1138"/>
      <c r="E61" s="486" t="str">
        <f>IF('Whole Building ccASHP Worksheet'!I27="","",'Whole Building ccASHP Worksheet'!I27)</f>
        <v/>
      </c>
      <c r="F61" s="486" t="str">
        <f>IF('Whole Building ccASHP Worksheet'!J27="","",'Whole Building ccASHP Worksheet'!J27)</f>
        <v/>
      </c>
      <c r="G61" s="475"/>
      <c r="H61" s="652" t="str">
        <f>IF('Whole Building ccASHP Worksheet'!F27="","",'Whole Building ccASHP Worksheet'!F27)</f>
        <v/>
      </c>
      <c r="I61" s="652" t="str">
        <f>IF('Whole Building ccASHP Worksheet'!G27="","",'Whole Building ccASHP Worksheet'!G27)</f>
        <v/>
      </c>
      <c r="J61" s="303"/>
      <c r="K61" s="475"/>
      <c r="L61" s="303"/>
      <c r="M61" s="303"/>
      <c r="N61" s="354"/>
      <c r="O61" s="355"/>
      <c r="P61" s="356"/>
    </row>
    <row r="62" spans="1:17" ht="15.5" x14ac:dyDescent="0.35">
      <c r="A62" s="396">
        <f t="shared" si="1"/>
        <v>9</v>
      </c>
      <c r="B62" s="304"/>
      <c r="C62" s="1137" t="str">
        <f>IF('Whole Building ccASHP Worksheet'!B28="","",'Whole Building ccASHP Worksheet'!B28)</f>
        <v/>
      </c>
      <c r="D62" s="1138"/>
      <c r="E62" s="486" t="str">
        <f>IF('Whole Building ccASHP Worksheet'!I28="","",'Whole Building ccASHP Worksheet'!I28)</f>
        <v/>
      </c>
      <c r="F62" s="486" t="str">
        <f>IF('Whole Building ccASHP Worksheet'!J28="","",'Whole Building ccASHP Worksheet'!J28)</f>
        <v/>
      </c>
      <c r="G62" s="475"/>
      <c r="H62" s="652" t="str">
        <f>IF('Whole Building ccASHP Worksheet'!F28="","",'Whole Building ccASHP Worksheet'!F28)</f>
        <v/>
      </c>
      <c r="I62" s="652" t="str">
        <f>IF('Whole Building ccASHP Worksheet'!G28="","",'Whole Building ccASHP Worksheet'!G28)</f>
        <v/>
      </c>
      <c r="J62" s="303"/>
      <c r="K62" s="475"/>
      <c r="L62" s="303"/>
      <c r="M62" s="303"/>
      <c r="N62" s="354"/>
      <c r="O62" s="355"/>
      <c r="P62" s="356"/>
    </row>
    <row r="63" spans="1:17" ht="15.5" x14ac:dyDescent="0.35">
      <c r="A63" s="396">
        <f t="shared" si="1"/>
        <v>10</v>
      </c>
      <c r="B63" s="304"/>
      <c r="C63" s="1137" t="str">
        <f>IF('Whole Building ccASHP Worksheet'!B29="","",'Whole Building ccASHP Worksheet'!B29)</f>
        <v/>
      </c>
      <c r="D63" s="1138"/>
      <c r="E63" s="486" t="str">
        <f>IF('Whole Building ccASHP Worksheet'!I29="","",'Whole Building ccASHP Worksheet'!I29)</f>
        <v/>
      </c>
      <c r="F63" s="486" t="str">
        <f>IF('Whole Building ccASHP Worksheet'!J29="","",'Whole Building ccASHP Worksheet'!J29)</f>
        <v/>
      </c>
      <c r="G63" s="475"/>
      <c r="H63" s="652" t="str">
        <f>IF('Whole Building ccASHP Worksheet'!F29="","",'Whole Building ccASHP Worksheet'!F29)</f>
        <v/>
      </c>
      <c r="I63" s="652" t="str">
        <f>IF('Whole Building ccASHP Worksheet'!G29="","",'Whole Building ccASHP Worksheet'!G29)</f>
        <v/>
      </c>
      <c r="J63" s="303"/>
      <c r="K63" s="475"/>
      <c r="L63" s="303"/>
      <c r="M63" s="303"/>
      <c r="N63" s="354"/>
      <c r="O63" s="355"/>
      <c r="P63" s="356"/>
    </row>
    <row r="64" spans="1:17" ht="15.5" x14ac:dyDescent="0.35">
      <c r="A64" s="396">
        <f t="shared" si="1"/>
        <v>11</v>
      </c>
      <c r="B64" s="304"/>
      <c r="C64" s="1137" t="str">
        <f>IF('Whole Building ccASHP Worksheet'!B30="","",'Whole Building ccASHP Worksheet'!B30)</f>
        <v/>
      </c>
      <c r="D64" s="1138"/>
      <c r="E64" s="486" t="str">
        <f>IF('Whole Building ccASHP Worksheet'!I30="","",'Whole Building ccASHP Worksheet'!I30)</f>
        <v/>
      </c>
      <c r="F64" s="486" t="str">
        <f>IF('Whole Building ccASHP Worksheet'!J30="","",'Whole Building ccASHP Worksheet'!J30)</f>
        <v/>
      </c>
      <c r="G64" s="475"/>
      <c r="H64" s="652" t="str">
        <f>IF('Whole Building ccASHP Worksheet'!F30="","",'Whole Building ccASHP Worksheet'!F30)</f>
        <v/>
      </c>
      <c r="I64" s="652" t="str">
        <f>IF('Whole Building ccASHP Worksheet'!G30="","",'Whole Building ccASHP Worksheet'!G30)</f>
        <v/>
      </c>
      <c r="J64" s="303"/>
      <c r="K64" s="475"/>
      <c r="L64" s="303"/>
      <c r="M64" s="303"/>
      <c r="N64" s="354"/>
      <c r="O64" s="355"/>
      <c r="P64" s="356"/>
    </row>
    <row r="65" spans="1:16" ht="15.5" x14ac:dyDescent="0.35">
      <c r="A65" s="396">
        <f t="shared" si="1"/>
        <v>12</v>
      </c>
      <c r="B65" s="304"/>
      <c r="C65" s="1137" t="str">
        <f>IF('Whole Building ccASHP Worksheet'!B31="","",'Whole Building ccASHP Worksheet'!B31)</f>
        <v/>
      </c>
      <c r="D65" s="1138"/>
      <c r="E65" s="486" t="str">
        <f>IF('Whole Building ccASHP Worksheet'!I31="","",'Whole Building ccASHP Worksheet'!I31)</f>
        <v/>
      </c>
      <c r="F65" s="486" t="str">
        <f>IF('Whole Building ccASHP Worksheet'!J31="","",'Whole Building ccASHP Worksheet'!J31)</f>
        <v/>
      </c>
      <c r="G65" s="475"/>
      <c r="H65" s="652" t="str">
        <f>IF('Whole Building ccASHP Worksheet'!F31="","",'Whole Building ccASHP Worksheet'!F31)</f>
        <v/>
      </c>
      <c r="I65" s="652" t="str">
        <f>IF('Whole Building ccASHP Worksheet'!G31="","",'Whole Building ccASHP Worksheet'!G31)</f>
        <v/>
      </c>
      <c r="J65" s="303"/>
      <c r="K65" s="475"/>
      <c r="L65" s="303"/>
      <c r="M65" s="303"/>
      <c r="N65" s="354"/>
      <c r="O65" s="355"/>
      <c r="P65" s="356"/>
    </row>
    <row r="66" spans="1:16" ht="15.5" x14ac:dyDescent="0.35">
      <c r="A66" s="396">
        <f t="shared" si="1"/>
        <v>13</v>
      </c>
      <c r="B66" s="304"/>
      <c r="C66" s="1137" t="str">
        <f>IF('Whole Building ccASHP Worksheet'!B32="","",'Whole Building ccASHP Worksheet'!B32)</f>
        <v/>
      </c>
      <c r="D66" s="1138"/>
      <c r="E66" s="486" t="str">
        <f>IF('Whole Building ccASHP Worksheet'!I32="","",'Whole Building ccASHP Worksheet'!I32)</f>
        <v/>
      </c>
      <c r="F66" s="486" t="str">
        <f>IF('Whole Building ccASHP Worksheet'!J32="","",'Whole Building ccASHP Worksheet'!J32)</f>
        <v/>
      </c>
      <c r="G66" s="475"/>
      <c r="H66" s="652" t="str">
        <f>IF('Whole Building ccASHP Worksheet'!F32="","",'Whole Building ccASHP Worksheet'!F32)</f>
        <v/>
      </c>
      <c r="I66" s="652" t="str">
        <f>IF('Whole Building ccASHP Worksheet'!G32="","",'Whole Building ccASHP Worksheet'!G32)</f>
        <v/>
      </c>
      <c r="J66" s="303"/>
      <c r="K66" s="475"/>
      <c r="L66" s="303"/>
      <c r="M66" s="303"/>
      <c r="N66" s="1125"/>
      <c r="O66" s="1126"/>
      <c r="P66" s="1127"/>
    </row>
    <row r="67" spans="1:16" ht="15.5" x14ac:dyDescent="0.35">
      <c r="A67" s="396">
        <f t="shared" si="1"/>
        <v>14</v>
      </c>
      <c r="B67" s="304"/>
      <c r="C67" s="1137" t="str">
        <f>IF('Whole Building ccASHP Worksheet'!B33="","",'Whole Building ccASHP Worksheet'!B33)</f>
        <v/>
      </c>
      <c r="D67" s="1138"/>
      <c r="E67" s="486" t="str">
        <f>IF('Whole Building ccASHP Worksheet'!I33="","",'Whole Building ccASHP Worksheet'!I33)</f>
        <v/>
      </c>
      <c r="F67" s="486" t="str">
        <f>IF('Whole Building ccASHP Worksheet'!J33="","",'Whole Building ccASHP Worksheet'!J33)</f>
        <v/>
      </c>
      <c r="G67" s="475"/>
      <c r="H67" s="652" t="str">
        <f>IF('Whole Building ccASHP Worksheet'!F33="","",'Whole Building ccASHP Worksheet'!F33)</f>
        <v/>
      </c>
      <c r="I67" s="652" t="str">
        <f>IF('Whole Building ccASHP Worksheet'!G33="","",'Whole Building ccASHP Worksheet'!G33)</f>
        <v/>
      </c>
      <c r="J67" s="303"/>
      <c r="K67" s="475"/>
      <c r="L67" s="303"/>
      <c r="M67" s="303"/>
      <c r="N67" s="1125"/>
      <c r="O67" s="1126"/>
      <c r="P67" s="1127"/>
    </row>
    <row r="68" spans="1:16" ht="15.5" x14ac:dyDescent="0.35">
      <c r="A68" s="396">
        <f t="shared" si="1"/>
        <v>15</v>
      </c>
      <c r="B68" s="304"/>
      <c r="C68" s="1137" t="str">
        <f>IF('Whole Building ccASHP Worksheet'!B34="","",'Whole Building ccASHP Worksheet'!B34)</f>
        <v/>
      </c>
      <c r="D68" s="1138"/>
      <c r="E68" s="486" t="str">
        <f>IF('Whole Building ccASHP Worksheet'!I34="","",'Whole Building ccASHP Worksheet'!I34)</f>
        <v/>
      </c>
      <c r="F68" s="486" t="str">
        <f>IF('Whole Building ccASHP Worksheet'!J34="","",'Whole Building ccASHP Worksheet'!J34)</f>
        <v/>
      </c>
      <c r="G68" s="475"/>
      <c r="H68" s="652" t="str">
        <f>IF('Whole Building ccASHP Worksheet'!F34="","",'Whole Building ccASHP Worksheet'!F34)</f>
        <v/>
      </c>
      <c r="I68" s="652" t="str">
        <f>IF('Whole Building ccASHP Worksheet'!G34="","",'Whole Building ccASHP Worksheet'!G34)</f>
        <v/>
      </c>
      <c r="J68" s="303"/>
      <c r="K68" s="475"/>
      <c r="L68" s="303"/>
      <c r="M68" s="303"/>
      <c r="N68" s="1125"/>
      <c r="O68" s="1126"/>
      <c r="P68" s="1127"/>
    </row>
    <row r="69" spans="1:16" ht="15.5" x14ac:dyDescent="0.35">
      <c r="A69" s="396">
        <f t="shared" si="1"/>
        <v>16</v>
      </c>
      <c r="B69" s="304"/>
      <c r="C69" s="1137" t="str">
        <f>IF('Whole Building ccASHP Worksheet'!B35="","",'Whole Building ccASHP Worksheet'!B35)</f>
        <v/>
      </c>
      <c r="D69" s="1138"/>
      <c r="E69" s="486" t="str">
        <f>IF('Whole Building ccASHP Worksheet'!I35="","",'Whole Building ccASHP Worksheet'!I35)</f>
        <v/>
      </c>
      <c r="F69" s="486" t="str">
        <f>IF('Whole Building ccASHP Worksheet'!J35="","",'Whole Building ccASHP Worksheet'!J35)</f>
        <v/>
      </c>
      <c r="G69" s="475"/>
      <c r="H69" s="652" t="str">
        <f>IF('Whole Building ccASHP Worksheet'!F35="","",'Whole Building ccASHP Worksheet'!F35)</f>
        <v/>
      </c>
      <c r="I69" s="652" t="str">
        <f>IF('Whole Building ccASHP Worksheet'!G35="","",'Whole Building ccASHP Worksheet'!G35)</f>
        <v/>
      </c>
      <c r="J69" s="303"/>
      <c r="K69" s="475"/>
      <c r="L69" s="303"/>
      <c r="M69" s="303"/>
      <c r="N69" s="1125"/>
      <c r="O69" s="1126"/>
      <c r="P69" s="1127"/>
    </row>
    <row r="70" spans="1:16" ht="15.5" x14ac:dyDescent="0.35">
      <c r="A70" s="396">
        <f t="shared" si="1"/>
        <v>17</v>
      </c>
      <c r="B70" s="304"/>
      <c r="C70" s="1137" t="str">
        <f>IF('Whole Building ccASHP Worksheet'!B36="","",'Whole Building ccASHP Worksheet'!B36)</f>
        <v/>
      </c>
      <c r="D70" s="1138"/>
      <c r="E70" s="486" t="str">
        <f>IF('Whole Building ccASHP Worksheet'!I36="","",'Whole Building ccASHP Worksheet'!I36)</f>
        <v/>
      </c>
      <c r="F70" s="486" t="str">
        <f>IF('Whole Building ccASHP Worksheet'!J36="","",'Whole Building ccASHP Worksheet'!J36)</f>
        <v/>
      </c>
      <c r="G70" s="475"/>
      <c r="H70" s="652" t="str">
        <f>IF('Whole Building ccASHP Worksheet'!F36="","",'Whole Building ccASHP Worksheet'!F36)</f>
        <v/>
      </c>
      <c r="I70" s="652" t="str">
        <f>IF('Whole Building ccASHP Worksheet'!G36="","",'Whole Building ccASHP Worksheet'!G36)</f>
        <v/>
      </c>
      <c r="J70" s="303"/>
      <c r="K70" s="475"/>
      <c r="L70" s="303"/>
      <c r="M70" s="303"/>
      <c r="N70" s="1125"/>
      <c r="O70" s="1126"/>
      <c r="P70" s="1127"/>
    </row>
    <row r="71" spans="1:16" ht="15.5" x14ac:dyDescent="0.35">
      <c r="A71" s="396">
        <f t="shared" si="1"/>
        <v>18</v>
      </c>
      <c r="B71" s="304"/>
      <c r="C71" s="1137" t="str">
        <f>IF('Whole Building ccASHP Worksheet'!B37="","",'Whole Building ccASHP Worksheet'!B37)</f>
        <v/>
      </c>
      <c r="D71" s="1138"/>
      <c r="E71" s="486" t="str">
        <f>IF('Whole Building ccASHP Worksheet'!I37="","",'Whole Building ccASHP Worksheet'!I37)</f>
        <v/>
      </c>
      <c r="F71" s="486" t="str">
        <f>IF('Whole Building ccASHP Worksheet'!J37="","",'Whole Building ccASHP Worksheet'!J37)</f>
        <v/>
      </c>
      <c r="G71" s="475"/>
      <c r="H71" s="652" t="str">
        <f>IF('Whole Building ccASHP Worksheet'!F37="","",'Whole Building ccASHP Worksheet'!F37)</f>
        <v/>
      </c>
      <c r="I71" s="652" t="str">
        <f>IF('Whole Building ccASHP Worksheet'!G37="","",'Whole Building ccASHP Worksheet'!G37)</f>
        <v/>
      </c>
      <c r="J71" s="303"/>
      <c r="K71" s="475"/>
      <c r="L71" s="303"/>
      <c r="M71" s="303"/>
      <c r="N71" s="1125"/>
      <c r="O71" s="1126"/>
      <c r="P71" s="1127"/>
    </row>
    <row r="72" spans="1:16" ht="15.5" x14ac:dyDescent="0.35">
      <c r="A72" s="396">
        <f>A71+1</f>
        <v>19</v>
      </c>
      <c r="B72" s="304"/>
      <c r="C72" s="1137" t="str">
        <f>IF('Whole Building ccASHP Worksheet'!B38="","",'Whole Building ccASHP Worksheet'!B38)</f>
        <v/>
      </c>
      <c r="D72" s="1138"/>
      <c r="E72" s="486" t="str">
        <f>IF('Whole Building ccASHP Worksheet'!I38="","",'Whole Building ccASHP Worksheet'!I38)</f>
        <v/>
      </c>
      <c r="F72" s="486" t="str">
        <f>IF('Whole Building ccASHP Worksheet'!J38="","",'Whole Building ccASHP Worksheet'!J38)</f>
        <v/>
      </c>
      <c r="H72" s="652" t="str">
        <f>IF('Whole Building ccASHP Worksheet'!F38="","",'Whole Building ccASHP Worksheet'!F38)</f>
        <v/>
      </c>
      <c r="I72" s="652" t="str">
        <f>IF('Whole Building ccASHP Worksheet'!G38="","",'Whole Building ccASHP Worksheet'!G38)</f>
        <v/>
      </c>
      <c r="J72" s="304"/>
      <c r="L72" s="304"/>
      <c r="M72" s="304"/>
      <c r="N72" s="1125"/>
      <c r="O72" s="1126"/>
      <c r="P72" s="1127"/>
    </row>
    <row r="73" spans="1:16" ht="15.5" x14ac:dyDescent="0.35">
      <c r="A73" s="396">
        <f t="shared" si="1"/>
        <v>20</v>
      </c>
      <c r="B73" s="304"/>
      <c r="C73" s="1137" t="str">
        <f>IF('Whole Building ccASHP Worksheet'!B39="","",'Whole Building ccASHP Worksheet'!B39)</f>
        <v/>
      </c>
      <c r="D73" s="1138"/>
      <c r="E73" s="486" t="str">
        <f>IF('Whole Building ccASHP Worksheet'!I39="","",'Whole Building ccASHP Worksheet'!I39)</f>
        <v/>
      </c>
      <c r="F73" s="486" t="str">
        <f>IF('Whole Building ccASHP Worksheet'!J39="","",'Whole Building ccASHP Worksheet'!J39)</f>
        <v/>
      </c>
      <c r="H73" s="652" t="str">
        <f>IF('Whole Building ccASHP Worksheet'!F39="","",'Whole Building ccASHP Worksheet'!F39)</f>
        <v/>
      </c>
      <c r="I73" s="652" t="str">
        <f>IF('Whole Building ccASHP Worksheet'!G39="","",'Whole Building ccASHP Worksheet'!G39)</f>
        <v/>
      </c>
      <c r="J73" s="304"/>
      <c r="L73" s="304"/>
      <c r="M73" s="304"/>
      <c r="N73" s="1125"/>
      <c r="O73" s="1126"/>
      <c r="P73" s="1127"/>
    </row>
    <row r="74" spans="1:16" ht="15.5" x14ac:dyDescent="0.35">
      <c r="A74" s="396">
        <f t="shared" si="1"/>
        <v>21</v>
      </c>
      <c r="B74" s="304"/>
      <c r="C74" s="1137" t="str">
        <f>IF('Whole Building ccASHP Worksheet'!B40="","",'Whole Building ccASHP Worksheet'!B40)</f>
        <v/>
      </c>
      <c r="D74" s="1138"/>
      <c r="E74" s="486" t="str">
        <f>IF('Whole Building ccASHP Worksheet'!I40="","",'Whole Building ccASHP Worksheet'!I40)</f>
        <v/>
      </c>
      <c r="F74" s="486" t="str">
        <f>IF('Whole Building ccASHP Worksheet'!J40="","",'Whole Building ccASHP Worksheet'!J40)</f>
        <v/>
      </c>
      <c r="H74" s="652" t="str">
        <f>IF('Whole Building ccASHP Worksheet'!F40="","",'Whole Building ccASHP Worksheet'!F40)</f>
        <v/>
      </c>
      <c r="I74" s="652" t="str">
        <f>IF('Whole Building ccASHP Worksheet'!G40="","",'Whole Building ccASHP Worksheet'!G40)</f>
        <v/>
      </c>
      <c r="J74" s="304"/>
      <c r="L74" s="304"/>
      <c r="M74" s="304"/>
      <c r="N74" s="1125"/>
      <c r="O74" s="1126"/>
      <c r="P74" s="1127"/>
    </row>
    <row r="75" spans="1:16" ht="15.5" x14ac:dyDescent="0.35">
      <c r="A75" s="396">
        <f t="shared" si="1"/>
        <v>22</v>
      </c>
      <c r="B75" s="304"/>
      <c r="C75" s="1137" t="str">
        <f>IF('Whole Building ccASHP Worksheet'!B41="","",'Whole Building ccASHP Worksheet'!B41)</f>
        <v/>
      </c>
      <c r="D75" s="1138"/>
      <c r="E75" s="486" t="str">
        <f>IF('Whole Building ccASHP Worksheet'!I41="","",'Whole Building ccASHP Worksheet'!I41)</f>
        <v/>
      </c>
      <c r="F75" s="486" t="str">
        <f>IF('Whole Building ccASHP Worksheet'!J41="","",'Whole Building ccASHP Worksheet'!J41)</f>
        <v/>
      </c>
      <c r="H75" s="652" t="str">
        <f>IF('Whole Building ccASHP Worksheet'!F41="","",'Whole Building ccASHP Worksheet'!F41)</f>
        <v/>
      </c>
      <c r="I75" s="652" t="str">
        <f>IF('Whole Building ccASHP Worksheet'!G41="","",'Whole Building ccASHP Worksheet'!G41)</f>
        <v/>
      </c>
      <c r="J75" s="304"/>
      <c r="L75" s="304"/>
      <c r="M75" s="304"/>
      <c r="N75" s="1125"/>
      <c r="O75" s="1126"/>
      <c r="P75" s="1127"/>
    </row>
    <row r="76" spans="1:16" ht="15.5" x14ac:dyDescent="0.35">
      <c r="A76" s="396">
        <f>A75+1</f>
        <v>23</v>
      </c>
      <c r="B76" s="304"/>
      <c r="C76" s="1137" t="str">
        <f>IF('Whole Building ccASHP Worksheet'!B42="","",'Whole Building ccASHP Worksheet'!B42)</f>
        <v/>
      </c>
      <c r="D76" s="1138"/>
      <c r="E76" s="486" t="str">
        <f>IF('Whole Building ccASHP Worksheet'!I42="","",'Whole Building ccASHP Worksheet'!I42)</f>
        <v/>
      </c>
      <c r="F76" s="486" t="str">
        <f>IF('Whole Building ccASHP Worksheet'!J42="","",'Whole Building ccASHP Worksheet'!J42)</f>
        <v/>
      </c>
      <c r="H76" s="652" t="str">
        <f>IF('Whole Building ccASHP Worksheet'!F42="","",'Whole Building ccASHP Worksheet'!F42)</f>
        <v/>
      </c>
      <c r="I76" s="652" t="str">
        <f>IF('Whole Building ccASHP Worksheet'!G42="","",'Whole Building ccASHP Worksheet'!G42)</f>
        <v/>
      </c>
      <c r="J76" s="304"/>
      <c r="L76" s="304"/>
      <c r="M76" s="304"/>
      <c r="N76" s="1125"/>
      <c r="O76" s="1126"/>
      <c r="P76" s="1127"/>
    </row>
    <row r="77" spans="1:16" ht="15.5" x14ac:dyDescent="0.35">
      <c r="A77" s="396">
        <f t="shared" si="1"/>
        <v>24</v>
      </c>
      <c r="B77" s="304"/>
      <c r="C77" s="1137" t="str">
        <f>IF('Whole Building ccASHP Worksheet'!B43="","",'Whole Building ccASHP Worksheet'!B43)</f>
        <v/>
      </c>
      <c r="D77" s="1138"/>
      <c r="E77" s="486" t="str">
        <f>IF('Whole Building ccASHP Worksheet'!I43="","",'Whole Building ccASHP Worksheet'!I43)</f>
        <v/>
      </c>
      <c r="F77" s="486" t="str">
        <f>IF('Whole Building ccASHP Worksheet'!J43="","",'Whole Building ccASHP Worksheet'!J43)</f>
        <v/>
      </c>
      <c r="H77" s="652" t="str">
        <f>IF('Whole Building ccASHP Worksheet'!F43="","",'Whole Building ccASHP Worksheet'!F43)</f>
        <v/>
      </c>
      <c r="I77" s="652" t="str">
        <f>IF('Whole Building ccASHP Worksheet'!G43="","",'Whole Building ccASHP Worksheet'!G43)</f>
        <v/>
      </c>
      <c r="J77" s="304"/>
      <c r="L77" s="304"/>
      <c r="M77" s="304"/>
      <c r="N77" s="1125"/>
      <c r="O77" s="1126"/>
      <c r="P77" s="1127"/>
    </row>
    <row r="78" spans="1:16" ht="15.5" x14ac:dyDescent="0.35">
      <c r="A78" s="396">
        <f>A77+1</f>
        <v>25</v>
      </c>
      <c r="B78" s="304"/>
      <c r="C78" s="1137" t="str">
        <f>IF('Whole Building ccASHP Worksheet'!B44="","",'Whole Building ccASHP Worksheet'!B44)</f>
        <v/>
      </c>
      <c r="D78" s="1138"/>
      <c r="E78" s="486" t="str">
        <f>IF('Whole Building ccASHP Worksheet'!I44="","",'Whole Building ccASHP Worksheet'!I44)</f>
        <v/>
      </c>
      <c r="F78" s="486" t="str">
        <f>IF('Whole Building ccASHP Worksheet'!J44="","",'Whole Building ccASHP Worksheet'!J44)</f>
        <v/>
      </c>
      <c r="H78" s="652" t="str">
        <f>IF('Whole Building ccASHP Worksheet'!F44="","",'Whole Building ccASHP Worksheet'!F44)</f>
        <v/>
      </c>
      <c r="I78" s="652" t="str">
        <f>IF('Whole Building ccASHP Worksheet'!G44="","",'Whole Building ccASHP Worksheet'!G44)</f>
        <v/>
      </c>
      <c r="J78" s="304"/>
      <c r="L78" s="304"/>
      <c r="M78" s="304"/>
      <c r="N78" s="1125"/>
      <c r="O78" s="1126"/>
      <c r="P78" s="1127"/>
    </row>
  </sheetData>
  <sheetProtection algorithmName="SHA-512" hashValue="YGSshSEdfqOaLOm8ze3/RVMHFRpzCvFPNnlWlvPOtV6V+/w+eDpZGlIrVESVBorQOlHbctYpkO9k+nZNbOH0jw==" saltValue="d1YwqthJcLUNw7YEEAP0sg==" spinCount="100000" sheet="1" objects="1" scenarios="1"/>
  <mergeCells count="90">
    <mergeCell ref="C77:D77"/>
    <mergeCell ref="N77:P77"/>
    <mergeCell ref="C78:D78"/>
    <mergeCell ref="N78:P78"/>
    <mergeCell ref="C74:D74"/>
    <mergeCell ref="N74:P74"/>
    <mergeCell ref="C75:D75"/>
    <mergeCell ref="N75:P75"/>
    <mergeCell ref="C76:D76"/>
    <mergeCell ref="N76:P76"/>
    <mergeCell ref="C71:D71"/>
    <mergeCell ref="N71:P71"/>
    <mergeCell ref="C72:D72"/>
    <mergeCell ref="N72:P72"/>
    <mergeCell ref="C73:D73"/>
    <mergeCell ref="N73:P73"/>
    <mergeCell ref="C68:D68"/>
    <mergeCell ref="N68:P68"/>
    <mergeCell ref="C69:D69"/>
    <mergeCell ref="N69:P69"/>
    <mergeCell ref="C70:D70"/>
    <mergeCell ref="N70:P70"/>
    <mergeCell ref="C64:D64"/>
    <mergeCell ref="C65:D65"/>
    <mergeCell ref="C66:D66"/>
    <mergeCell ref="N66:P66"/>
    <mergeCell ref="C67:D67"/>
    <mergeCell ref="N67:P67"/>
    <mergeCell ref="C63:D63"/>
    <mergeCell ref="C56:D56"/>
    <mergeCell ref="N56:P56"/>
    <mergeCell ref="C57:D57"/>
    <mergeCell ref="N57:P57"/>
    <mergeCell ref="C58:D58"/>
    <mergeCell ref="N58:P58"/>
    <mergeCell ref="C59:D59"/>
    <mergeCell ref="N59:P59"/>
    <mergeCell ref="C60:D60"/>
    <mergeCell ref="C61:D61"/>
    <mergeCell ref="C62:D62"/>
    <mergeCell ref="C53:D53"/>
    <mergeCell ref="N53:P53"/>
    <mergeCell ref="C54:D54"/>
    <mergeCell ref="N54:P54"/>
    <mergeCell ref="C55:D55"/>
    <mergeCell ref="N55:P55"/>
    <mergeCell ref="C48:D48"/>
    <mergeCell ref="N48:P48"/>
    <mergeCell ref="C49:D49"/>
    <mergeCell ref="N49:P49"/>
    <mergeCell ref="C50:D50"/>
    <mergeCell ref="N50:P50"/>
    <mergeCell ref="C44:D44"/>
    <mergeCell ref="C45:D45"/>
    <mergeCell ref="C46:D46"/>
    <mergeCell ref="N46:P46"/>
    <mergeCell ref="C47:D47"/>
    <mergeCell ref="N47:P47"/>
    <mergeCell ref="C43:D43"/>
    <mergeCell ref="C32:D32"/>
    <mergeCell ref="C33:D33"/>
    <mergeCell ref="C34:D34"/>
    <mergeCell ref="C35:D35"/>
    <mergeCell ref="C36:D36"/>
    <mergeCell ref="C37:D37"/>
    <mergeCell ref="C38:D38"/>
    <mergeCell ref="C39:D39"/>
    <mergeCell ref="C40:D40"/>
    <mergeCell ref="C41:D41"/>
    <mergeCell ref="C42:D42"/>
    <mergeCell ref="C31:D31"/>
    <mergeCell ref="O23:P23"/>
    <mergeCell ref="C25:D25"/>
    <mergeCell ref="N25:P25"/>
    <mergeCell ref="C26:D26"/>
    <mergeCell ref="N26:P26"/>
    <mergeCell ref="C27:D27"/>
    <mergeCell ref="N27:P27"/>
    <mergeCell ref="C28:D28"/>
    <mergeCell ref="N28:P28"/>
    <mergeCell ref="C29:D29"/>
    <mergeCell ref="N29:P29"/>
    <mergeCell ref="C30:D30"/>
    <mergeCell ref="J13:K13"/>
    <mergeCell ref="N13:O13"/>
    <mergeCell ref="H7:P7"/>
    <mergeCell ref="J9:K9"/>
    <mergeCell ref="N9:O9"/>
    <mergeCell ref="J11:K11"/>
    <mergeCell ref="N11:O11"/>
  </mergeCells>
  <pageMargins left="0.7" right="0.7" top="0.75" bottom="0.75" header="0.3" footer="0.3"/>
  <pageSetup scale="4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63"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5064"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5065"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5066"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5067"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5068"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211D-A485-483E-AAB3-AB2097D05B28}">
  <sheetPr codeName="Sheet21">
    <tabColor rgb="FF00B0F0"/>
  </sheetPr>
  <dimension ref="A1:Y49"/>
  <sheetViews>
    <sheetView showGridLines="0" zoomScale="120" zoomScaleNormal="120" workbookViewId="0"/>
  </sheetViews>
  <sheetFormatPr defaultColWidth="8.81640625" defaultRowHeight="14.5" x14ac:dyDescent="0.35"/>
  <cols>
    <col min="1" max="1" width="3.54296875" style="396" customWidth="1"/>
    <col min="2" max="2" width="9.54296875" style="396" customWidth="1"/>
    <col min="3" max="3" width="12.54296875" style="396" customWidth="1"/>
    <col min="4" max="4" width="25.54296875" style="396" customWidth="1"/>
    <col min="5" max="5" width="14.453125" style="396" customWidth="1"/>
    <col min="6" max="6" width="7.453125" style="396" bestFit="1" customWidth="1"/>
    <col min="7" max="7" width="3.54296875" style="396" customWidth="1"/>
    <col min="8" max="8" width="14" style="396" customWidth="1"/>
    <col min="9" max="9" width="18.1796875" style="396" customWidth="1"/>
    <col min="10" max="10" width="32.54296875" style="396" customWidth="1"/>
    <col min="11" max="11" width="3.54296875" style="396" customWidth="1"/>
    <col min="12" max="12" width="7.453125" style="396" customWidth="1"/>
    <col min="13" max="13" width="15.54296875" style="396" customWidth="1"/>
    <col min="14" max="14" width="18.81640625" style="396" customWidth="1"/>
    <col min="15" max="15" width="13.453125" style="396" customWidth="1"/>
    <col min="16" max="16" width="14.26953125" style="396" customWidth="1"/>
    <col min="17" max="16384" width="8.81640625" style="396"/>
  </cols>
  <sheetData>
    <row r="1" spans="2:18" ht="30" x14ac:dyDescent="0.35">
      <c r="B1" s="302" t="str">
        <f>Development!B4&amp;" "&amp;Development!B2</f>
        <v>2024 Commercial Efficiency Program</v>
      </c>
      <c r="D1" s="302"/>
      <c r="E1" s="302"/>
      <c r="F1" s="302"/>
      <c r="G1" s="302"/>
      <c r="H1" s="302"/>
      <c r="I1" s="302"/>
      <c r="J1" s="302"/>
      <c r="K1" s="302"/>
      <c r="L1" s="302"/>
      <c r="M1" s="302"/>
    </row>
    <row r="3" spans="2:18" ht="23" x14ac:dyDescent="0.35">
      <c r="C3" s="472" t="str">
        <f>"ERV-HRV Inspection Form "&amp;Development!B4&amp;" version - "&amp;Development!B5</f>
        <v>ERV-HRV Inspection Form 2024 version - 2.0</v>
      </c>
      <c r="D3" s="472"/>
      <c r="E3" s="472"/>
      <c r="F3" s="472"/>
      <c r="G3" s="472"/>
      <c r="H3" s="472"/>
      <c r="I3" s="472"/>
      <c r="J3" s="472"/>
      <c r="K3" s="472"/>
      <c r="L3" s="472"/>
      <c r="M3" s="472"/>
      <c r="N3" s="472"/>
      <c r="O3" s="472"/>
    </row>
    <row r="5" spans="2:18" ht="24" customHeight="1" x14ac:dyDescent="0.35">
      <c r="C5" s="31" t="s">
        <v>1645</v>
      </c>
      <c r="D5" s="473" t="str">
        <f>IF(WkshtName="","",WkshtName)</f>
        <v>PSEGLI_2023 HVAC Worksheet_VERSION 1.0.xlsm</v>
      </c>
      <c r="E5" s="474"/>
    </row>
    <row r="6" spans="2:18" ht="24" customHeight="1" x14ac:dyDescent="0.35">
      <c r="C6" s="31" t="s">
        <v>1226</v>
      </c>
      <c r="D6" s="473" t="str">
        <f>IF('Customer Information'!L42="","",'Customer Information'!L42)</f>
        <v/>
      </c>
      <c r="E6" s="474"/>
    </row>
    <row r="7" spans="2:18" ht="24" customHeight="1" x14ac:dyDescent="0.35">
      <c r="C7" s="31" t="s">
        <v>0</v>
      </c>
      <c r="D7" s="473" t="str">
        <f>IF('HVAC Worksheet'!C7="","",'HVAC Worksheet'!C7)</f>
        <v/>
      </c>
      <c r="E7" s="474"/>
      <c r="F7" s="475"/>
      <c r="G7" s="475"/>
      <c r="H7" s="1128" t="s">
        <v>901</v>
      </c>
      <c r="I7" s="1129"/>
      <c r="J7" s="1129"/>
      <c r="K7" s="1129"/>
      <c r="L7" s="1129"/>
      <c r="M7" s="1129"/>
      <c r="N7" s="1129"/>
      <c r="O7" s="1129"/>
      <c r="P7" s="1130"/>
      <c r="R7" s="476"/>
    </row>
    <row r="8" spans="2:18" ht="25.4" customHeight="1" x14ac:dyDescent="0.35">
      <c r="C8" s="31" t="s">
        <v>2</v>
      </c>
      <c r="D8" s="473" t="str">
        <f>IF('HVAC Worksheet'!C8="","",'HVAC Worksheet'!C8)</f>
        <v/>
      </c>
      <c r="E8" s="474"/>
      <c r="F8" s="475"/>
      <c r="G8" s="475"/>
      <c r="H8" s="477"/>
      <c r="I8" s="475"/>
      <c r="J8" s="475"/>
      <c r="K8" s="475"/>
      <c r="L8" s="475"/>
      <c r="M8" s="475"/>
      <c r="N8" s="475"/>
      <c r="O8" s="475"/>
      <c r="P8" s="279"/>
      <c r="R8" s="2"/>
    </row>
    <row r="9" spans="2:18" ht="25.4" customHeight="1" x14ac:dyDescent="0.35">
      <c r="C9" s="31" t="s">
        <v>921</v>
      </c>
      <c r="D9" s="473" t="str">
        <f>IF('HVAC Worksheet'!C9="","",'HVAC Worksheet'!C9)</f>
        <v/>
      </c>
      <c r="E9" s="474"/>
      <c r="F9" s="475"/>
      <c r="H9" s="477"/>
      <c r="I9" s="31" t="s">
        <v>902</v>
      </c>
      <c r="J9" s="1131"/>
      <c r="K9" s="1131"/>
      <c r="L9" s="475"/>
      <c r="M9" s="31" t="s">
        <v>903</v>
      </c>
      <c r="N9" s="1132"/>
      <c r="O9" s="1132"/>
      <c r="P9" s="478"/>
    </row>
    <row r="10" spans="2:18" ht="25.4" customHeight="1" x14ac:dyDescent="0.35">
      <c r="C10" s="31" t="s">
        <v>5</v>
      </c>
      <c r="D10" s="473" t="str">
        <f>IF('HVAC Worksheet'!C10="","",'HVAC Worksheet'!C10)</f>
        <v/>
      </c>
      <c r="E10" s="474"/>
      <c r="F10" s="475"/>
      <c r="H10" s="477"/>
      <c r="I10" s="475"/>
      <c r="J10" s="475"/>
      <c r="M10" s="475"/>
      <c r="N10" s="475"/>
      <c r="O10" s="475"/>
      <c r="P10" s="479"/>
    </row>
    <row r="11" spans="2:18" ht="25.4" customHeight="1" x14ac:dyDescent="0.35">
      <c r="C11" s="31" t="s">
        <v>4</v>
      </c>
      <c r="D11" s="480" t="str">
        <f>IF('HVAC Worksheet'!G9="","",'HVAC Worksheet'!G9)</f>
        <v/>
      </c>
      <c r="E11" s="474" t="str">
        <f>IF('HVAC Worksheet'!E11="","",'HVAC Worksheet'!E11)</f>
        <v/>
      </c>
      <c r="F11" s="475"/>
      <c r="H11" s="477"/>
      <c r="I11" s="31" t="s">
        <v>904</v>
      </c>
      <c r="J11" s="1131"/>
      <c r="K11" s="1131"/>
      <c r="L11" s="475"/>
      <c r="M11" s="31" t="s">
        <v>905</v>
      </c>
      <c r="N11" s="1132"/>
      <c r="O11" s="1132"/>
      <c r="P11" s="478"/>
    </row>
    <row r="12" spans="2:18" ht="25.4" customHeight="1" x14ac:dyDescent="0.35">
      <c r="C12" s="31" t="s">
        <v>8</v>
      </c>
      <c r="D12" s="480" t="str">
        <f>IF('HVAC Worksheet'!G11="","",'HVAC Worksheet'!G11)</f>
        <v/>
      </c>
      <c r="E12" s="474" t="str">
        <f>IF('HVAC Worksheet'!E12="","",'HVAC Worksheet'!E12)</f>
        <v/>
      </c>
      <c r="F12" s="475"/>
      <c r="H12" s="477"/>
      <c r="I12" s="475"/>
      <c r="J12" s="475"/>
      <c r="M12" s="475"/>
      <c r="N12" s="475"/>
      <c r="O12" s="475"/>
      <c r="P12" s="479"/>
    </row>
    <row r="13" spans="2:18" ht="25.4" customHeight="1" x14ac:dyDescent="0.35">
      <c r="C13" s="31" t="s">
        <v>906</v>
      </c>
      <c r="D13" s="473" t="str">
        <f>IF('HVAC Worksheet'!G7="","",'HVAC Worksheet'!G7)</f>
        <v>Select …</v>
      </c>
      <c r="E13" s="474"/>
      <c r="F13" s="475"/>
      <c r="H13" s="477"/>
      <c r="I13" s="31" t="s">
        <v>907</v>
      </c>
      <c r="J13" s="1131"/>
      <c r="K13" s="1131"/>
      <c r="L13" s="475"/>
      <c r="M13" s="31" t="s">
        <v>908</v>
      </c>
      <c r="N13" s="1132"/>
      <c r="O13" s="1132"/>
      <c r="P13" s="478"/>
    </row>
    <row r="14" spans="2:18" ht="25.4" customHeight="1" x14ac:dyDescent="0.35">
      <c r="C14" s="573" t="s">
        <v>1648</v>
      </c>
      <c r="D14" s="574"/>
      <c r="E14" s="575"/>
      <c r="F14" s="475"/>
      <c r="G14" s="475"/>
      <c r="H14" s="738"/>
      <c r="I14" s="475"/>
      <c r="J14" s="475"/>
      <c r="K14" s="475"/>
      <c r="L14" s="475"/>
      <c r="M14" s="475"/>
      <c r="N14" s="475"/>
      <c r="O14" s="475"/>
      <c r="P14" s="279"/>
      <c r="R14" s="2"/>
    </row>
    <row r="15" spans="2:18" ht="25.4" customHeight="1" x14ac:dyDescent="0.35">
      <c r="C15" s="573"/>
      <c r="D15" s="734"/>
      <c r="E15" s="735"/>
      <c r="F15" s="475"/>
      <c r="G15" s="475"/>
      <c r="H15" s="738" t="s">
        <v>2124</v>
      </c>
      <c r="I15" s="475"/>
      <c r="J15" s="475"/>
      <c r="K15" s="475"/>
      <c r="L15" s="475"/>
      <c r="M15" s="475"/>
      <c r="N15" s="475"/>
      <c r="O15" s="475"/>
      <c r="P15" s="279"/>
      <c r="R15" s="2"/>
    </row>
    <row r="16" spans="2:18" ht="25.4" customHeight="1" x14ac:dyDescent="0.35">
      <c r="C16" s="573"/>
      <c r="D16" s="734"/>
      <c r="E16" s="735"/>
      <c r="F16" s="475"/>
      <c r="G16" s="475"/>
      <c r="H16" s="738"/>
      <c r="I16" s="475"/>
      <c r="J16" s="475"/>
      <c r="K16" s="475"/>
      <c r="L16" s="475"/>
      <c r="M16" s="475"/>
      <c r="N16" s="475"/>
      <c r="O16" s="475"/>
      <c r="P16" s="279"/>
      <c r="R16" s="2"/>
    </row>
    <row r="17" spans="1:25" ht="25.4" customHeight="1" x14ac:dyDescent="0.35">
      <c r="C17" s="573"/>
      <c r="D17" s="734"/>
      <c r="E17" s="735"/>
      <c r="F17" s="475"/>
      <c r="G17" s="475"/>
      <c r="H17" s="738" t="s">
        <v>2125</v>
      </c>
      <c r="I17" s="475"/>
      <c r="J17" s="475"/>
      <c r="K17" s="475"/>
      <c r="L17" s="475"/>
      <c r="M17" s="475"/>
      <c r="N17" s="475"/>
      <c r="O17" s="475"/>
      <c r="P17" s="279"/>
      <c r="R17" s="2"/>
    </row>
    <row r="18" spans="1:25" ht="25.4" customHeight="1" x14ac:dyDescent="0.35">
      <c r="C18" s="573"/>
      <c r="D18" s="734"/>
      <c r="E18" s="735"/>
      <c r="F18" s="475"/>
      <c r="G18" s="475"/>
      <c r="H18" s="738"/>
      <c r="I18" s="475"/>
      <c r="J18" s="475"/>
      <c r="K18" s="475"/>
      <c r="L18" s="475"/>
      <c r="M18" s="475"/>
      <c r="N18" s="475"/>
      <c r="O18" s="475"/>
      <c r="P18" s="279"/>
      <c r="R18" s="2"/>
    </row>
    <row r="19" spans="1:25" ht="25.4" customHeight="1" x14ac:dyDescent="0.35">
      <c r="C19" s="573"/>
      <c r="D19" s="734"/>
      <c r="E19" s="735"/>
      <c r="F19" s="475"/>
      <c r="G19" s="475"/>
      <c r="H19" s="738" t="s">
        <v>2126</v>
      </c>
      <c r="I19" s="475"/>
      <c r="J19" s="475"/>
      <c r="K19" s="475"/>
      <c r="L19" s="475"/>
      <c r="M19" s="475"/>
      <c r="N19" s="475"/>
      <c r="O19" s="475"/>
      <c r="P19" s="279"/>
      <c r="R19" s="2"/>
    </row>
    <row r="20" spans="1:25" ht="25.4" customHeight="1" x14ac:dyDescent="0.35">
      <c r="C20" s="573"/>
      <c r="D20" s="734"/>
      <c r="E20" s="735"/>
      <c r="F20" s="475"/>
      <c r="G20" s="475"/>
      <c r="H20" s="738"/>
      <c r="I20" s="475"/>
      <c r="J20" s="475"/>
      <c r="K20" s="475"/>
      <c r="L20" s="475"/>
      <c r="M20" s="475"/>
      <c r="N20" s="475"/>
      <c r="O20" s="475"/>
      <c r="P20" s="279"/>
      <c r="R20" s="2"/>
    </row>
    <row r="21" spans="1:25" ht="25.4" customHeight="1" x14ac:dyDescent="0.35">
      <c r="C21" s="573"/>
      <c r="D21" s="734"/>
      <c r="E21" s="735"/>
      <c r="F21" s="475"/>
      <c r="G21" s="475"/>
      <c r="H21" s="742" t="s">
        <v>2127</v>
      </c>
      <c r="I21" s="474"/>
      <c r="J21" s="474"/>
      <c r="K21" s="474"/>
      <c r="L21" s="474"/>
      <c r="M21" s="474"/>
      <c r="N21" s="474"/>
      <c r="O21" s="474"/>
      <c r="P21" s="278"/>
      <c r="R21" s="2"/>
    </row>
    <row r="22" spans="1:25" ht="25.4" customHeight="1" x14ac:dyDescent="0.35">
      <c r="C22" s="573"/>
      <c r="D22" s="734"/>
      <c r="E22" s="735"/>
      <c r="F22" s="475"/>
      <c r="G22" s="475"/>
      <c r="H22" s="475"/>
      <c r="I22" s="475"/>
      <c r="J22" s="475"/>
      <c r="K22" s="475"/>
      <c r="L22" s="475"/>
      <c r="M22" s="475"/>
      <c r="N22" s="475"/>
      <c r="O22" s="475"/>
      <c r="P22" s="2"/>
      <c r="R22" s="2"/>
    </row>
    <row r="23" spans="1:25" ht="25.4" customHeight="1" x14ac:dyDescent="0.35">
      <c r="F23" s="475"/>
      <c r="G23" s="475"/>
      <c r="H23" s="475"/>
      <c r="I23" s="475"/>
      <c r="J23" s="475"/>
      <c r="K23" s="475"/>
      <c r="L23" s="475"/>
      <c r="M23" s="475"/>
      <c r="N23" s="475"/>
      <c r="O23" s="475"/>
      <c r="P23" s="475"/>
    </row>
    <row r="24" spans="1:25" ht="15.5" x14ac:dyDescent="0.35">
      <c r="C24" s="475"/>
      <c r="D24" s="475"/>
      <c r="E24" s="475"/>
      <c r="F24" s="475"/>
      <c r="G24" s="475"/>
      <c r="H24" s="475"/>
      <c r="I24" s="475"/>
      <c r="J24" s="475"/>
      <c r="K24" s="475"/>
      <c r="L24" s="475"/>
      <c r="N24" s="31" t="s">
        <v>1226</v>
      </c>
      <c r="O24" s="1133" t="str">
        <f>IF('HVAC Worksheet'!$C$12="","",'HVAC Worksheet'!$C$12)</f>
        <v/>
      </c>
      <c r="P24" s="1133"/>
    </row>
    <row r="25" spans="1:25" ht="20" x14ac:dyDescent="0.35">
      <c r="B25" s="481" t="s">
        <v>909</v>
      </c>
      <c r="D25" s="482"/>
      <c r="E25" s="482"/>
      <c r="F25" s="482"/>
      <c r="G25" s="482"/>
      <c r="H25" s="482"/>
      <c r="I25" s="482"/>
      <c r="J25" s="482"/>
      <c r="K25" s="482"/>
      <c r="L25" s="482"/>
      <c r="M25" s="482"/>
      <c r="N25" s="482"/>
      <c r="O25" s="482"/>
      <c r="P25" s="482"/>
      <c r="Q25" s="481"/>
      <c r="R25" s="481"/>
      <c r="S25" s="481"/>
      <c r="T25" s="481"/>
      <c r="U25" s="481"/>
      <c r="V25" s="481"/>
      <c r="W25" s="481"/>
      <c r="X25" s="481"/>
      <c r="Y25" s="481"/>
    </row>
    <row r="26" spans="1:25" s="485" customFormat="1" ht="27" customHeight="1" x14ac:dyDescent="0.35">
      <c r="B26" s="483" t="s">
        <v>910</v>
      </c>
      <c r="C26" s="1134" t="s">
        <v>9</v>
      </c>
      <c r="D26" s="1135"/>
      <c r="E26" s="483" t="s">
        <v>1367</v>
      </c>
      <c r="F26" s="483" t="s">
        <v>912</v>
      </c>
      <c r="G26" s="484"/>
      <c r="H26" s="483" t="s">
        <v>2117</v>
      </c>
      <c r="I26" s="483" t="s">
        <v>913</v>
      </c>
      <c r="J26" s="483" t="s">
        <v>24</v>
      </c>
      <c r="K26" s="484"/>
      <c r="L26" s="483" t="s">
        <v>915</v>
      </c>
      <c r="M26" s="483" t="s">
        <v>916</v>
      </c>
      <c r="N26" s="1134" t="s">
        <v>356</v>
      </c>
      <c r="O26" s="1136"/>
      <c r="P26" s="1135"/>
    </row>
    <row r="27" spans="1:25" ht="15.5" x14ac:dyDescent="0.35">
      <c r="A27" s="396">
        <v>1</v>
      </c>
      <c r="B27" s="304"/>
      <c r="C27" s="1137" t="str">
        <f>IF(Ventilation!O20="","",Ventilation!O20)</f>
        <v/>
      </c>
      <c r="D27" s="1138"/>
      <c r="E27" s="486" t="str">
        <f>IF(Ventilation!P20="","",Ventilation!P20)</f>
        <v/>
      </c>
      <c r="F27" s="531"/>
      <c r="H27" s="303"/>
      <c r="I27" s="652" t="str">
        <f>IF(Ventilation!R20="","",Ventilation!R20)</f>
        <v/>
      </c>
      <c r="J27" s="486" t="str">
        <f>IF(Ventilation!Q20="","",Ventilation!Q20)</f>
        <v/>
      </c>
      <c r="L27" s="303"/>
      <c r="M27" s="303"/>
      <c r="N27" s="1139"/>
      <c r="O27" s="1140"/>
      <c r="P27" s="1141"/>
    </row>
    <row r="28" spans="1:25" ht="15.5" x14ac:dyDescent="0.35">
      <c r="A28" s="396">
        <f>A27+1</f>
        <v>2</v>
      </c>
      <c r="B28" s="304"/>
      <c r="C28" s="1137" t="str">
        <f>IF(Ventilation!O21="","",Ventilation!O21)</f>
        <v/>
      </c>
      <c r="D28" s="1138"/>
      <c r="E28" s="486" t="str">
        <f>IF(Ventilation!P21="","",Ventilation!P21)</f>
        <v/>
      </c>
      <c r="F28" s="531"/>
      <c r="H28" s="303"/>
      <c r="I28" s="652" t="str">
        <f>IF(Ventilation!R21="","",Ventilation!R21)</f>
        <v/>
      </c>
      <c r="J28" s="486" t="str">
        <f>IF(Ventilation!Q21="","",Ventilation!Q21)</f>
        <v/>
      </c>
      <c r="L28" s="303"/>
      <c r="M28" s="303"/>
      <c r="N28" s="1139"/>
      <c r="O28" s="1140"/>
      <c r="P28" s="1141"/>
    </row>
    <row r="29" spans="1:25" ht="15.5" x14ac:dyDescent="0.35">
      <c r="A29" s="396">
        <f t="shared" ref="A29:A36" si="0">A28+1</f>
        <v>3</v>
      </c>
      <c r="B29" s="304"/>
      <c r="C29" s="1137" t="str">
        <f>IF(Ventilation!O22="","",Ventilation!O22)</f>
        <v/>
      </c>
      <c r="D29" s="1138"/>
      <c r="E29" s="486" t="str">
        <f>IF(Ventilation!P22="","",Ventilation!P22)</f>
        <v/>
      </c>
      <c r="F29" s="531"/>
      <c r="H29" s="303"/>
      <c r="I29" s="652" t="str">
        <f>IF(Ventilation!R22="","",Ventilation!R22)</f>
        <v/>
      </c>
      <c r="J29" s="486" t="str">
        <f>IF(Ventilation!Q22="","",Ventilation!Q22)</f>
        <v/>
      </c>
      <c r="L29" s="303"/>
      <c r="M29" s="303"/>
      <c r="N29" s="1139"/>
      <c r="O29" s="1140"/>
      <c r="P29" s="1141"/>
    </row>
    <row r="30" spans="1:25" ht="15.5" x14ac:dyDescent="0.35">
      <c r="A30" s="396">
        <f t="shared" si="0"/>
        <v>4</v>
      </c>
      <c r="B30" s="304"/>
      <c r="C30" s="1137" t="str">
        <f>IF(Ventilation!O23="","",Ventilation!O23)</f>
        <v/>
      </c>
      <c r="D30" s="1138"/>
      <c r="E30" s="486" t="str">
        <f>IF(Ventilation!P23="","",Ventilation!P23)</f>
        <v/>
      </c>
      <c r="F30" s="531"/>
      <c r="H30" s="303"/>
      <c r="I30" s="652" t="str">
        <f>IF(Ventilation!R23="","",Ventilation!R23)</f>
        <v/>
      </c>
      <c r="J30" s="486" t="str">
        <f>IF(Ventilation!Q23="","",Ventilation!Q23)</f>
        <v/>
      </c>
      <c r="L30" s="303"/>
      <c r="M30" s="303"/>
      <c r="N30" s="1139"/>
      <c r="O30" s="1140"/>
      <c r="P30" s="1141"/>
    </row>
    <row r="31" spans="1:25" ht="15.5" x14ac:dyDescent="0.35">
      <c r="A31" s="396">
        <f t="shared" si="0"/>
        <v>5</v>
      </c>
      <c r="B31" s="304"/>
      <c r="C31" s="1137" t="str">
        <f>IF(Ventilation!O24="","",Ventilation!O24)</f>
        <v/>
      </c>
      <c r="D31" s="1138"/>
      <c r="E31" s="486" t="str">
        <f>IF(Ventilation!P24="","",Ventilation!P24)</f>
        <v/>
      </c>
      <c r="F31" s="531"/>
      <c r="H31" s="303"/>
      <c r="I31" s="652" t="str">
        <f>IF(Ventilation!R24="","",Ventilation!R24)</f>
        <v/>
      </c>
      <c r="J31" s="486" t="str">
        <f>IF(Ventilation!Q24="","",Ventilation!Q24)</f>
        <v/>
      </c>
      <c r="L31" s="303"/>
      <c r="M31" s="303"/>
      <c r="N31" s="357"/>
      <c r="O31" s="358"/>
      <c r="P31" s="359"/>
    </row>
    <row r="32" spans="1:25" ht="15.5" x14ac:dyDescent="0.35">
      <c r="A32" s="396">
        <f t="shared" si="0"/>
        <v>6</v>
      </c>
      <c r="B32" s="304"/>
      <c r="C32" s="1137" t="str">
        <f>IF(Ventilation!O25="","",Ventilation!O25)</f>
        <v/>
      </c>
      <c r="D32" s="1138"/>
      <c r="E32" s="486" t="str">
        <f>IF(Ventilation!P25="","",Ventilation!P25)</f>
        <v/>
      </c>
      <c r="F32" s="531"/>
      <c r="H32" s="303"/>
      <c r="I32" s="652" t="str">
        <f>IF(Ventilation!R25="","",Ventilation!R25)</f>
        <v/>
      </c>
      <c r="J32" s="486" t="str">
        <f>IF(Ventilation!Q25="","",Ventilation!Q25)</f>
        <v/>
      </c>
      <c r="L32" s="303"/>
      <c r="M32" s="303"/>
      <c r="N32" s="357"/>
      <c r="O32" s="358"/>
      <c r="P32" s="359"/>
    </row>
    <row r="33" spans="1:17" ht="15.5" x14ac:dyDescent="0.35">
      <c r="A33" s="396">
        <f t="shared" si="0"/>
        <v>7</v>
      </c>
      <c r="B33" s="304"/>
      <c r="C33" s="1137" t="str">
        <f>IF(Ventilation!O26="","",Ventilation!O26)</f>
        <v/>
      </c>
      <c r="D33" s="1138"/>
      <c r="E33" s="486" t="str">
        <f>IF(Ventilation!P26="","",Ventilation!P26)</f>
        <v/>
      </c>
      <c r="F33" s="531"/>
      <c r="H33" s="303"/>
      <c r="I33" s="652" t="str">
        <f>IF(Ventilation!R26="","",Ventilation!R26)</f>
        <v/>
      </c>
      <c r="J33" s="486" t="str">
        <f>IF(Ventilation!Q26="","",Ventilation!Q26)</f>
        <v/>
      </c>
      <c r="L33" s="303"/>
      <c r="M33" s="303"/>
      <c r="N33" s="357"/>
      <c r="O33" s="358"/>
      <c r="P33" s="359"/>
    </row>
    <row r="34" spans="1:17" ht="15.5" x14ac:dyDescent="0.35">
      <c r="A34" s="396">
        <f t="shared" si="0"/>
        <v>8</v>
      </c>
      <c r="B34" s="304"/>
      <c r="C34" s="1137" t="str">
        <f>IF(Ventilation!O27="","",Ventilation!O27)</f>
        <v/>
      </c>
      <c r="D34" s="1138"/>
      <c r="E34" s="486" t="str">
        <f>IF(Ventilation!P27="","",Ventilation!P27)</f>
        <v/>
      </c>
      <c r="F34" s="531"/>
      <c r="H34" s="303"/>
      <c r="I34" s="652" t="str">
        <f>IF(Ventilation!R27="","",Ventilation!R27)</f>
        <v/>
      </c>
      <c r="J34" s="486" t="str">
        <f>IF(Ventilation!Q27="","",Ventilation!Q27)</f>
        <v/>
      </c>
      <c r="L34" s="303"/>
      <c r="M34" s="303"/>
      <c r="N34" s="357"/>
      <c r="O34" s="358"/>
      <c r="P34" s="359"/>
    </row>
    <row r="35" spans="1:17" ht="15.5" x14ac:dyDescent="0.35">
      <c r="A35" s="396">
        <f t="shared" si="0"/>
        <v>9</v>
      </c>
      <c r="B35" s="304"/>
      <c r="C35" s="1137" t="str">
        <f>IF(Ventilation!O28="","",Ventilation!O28)</f>
        <v/>
      </c>
      <c r="D35" s="1138"/>
      <c r="E35" s="486" t="str">
        <f>IF(Ventilation!P28="","",Ventilation!P28)</f>
        <v/>
      </c>
      <c r="F35" s="531"/>
      <c r="H35" s="303"/>
      <c r="I35" s="652" t="str">
        <f>IF(Ventilation!R28="","",Ventilation!R28)</f>
        <v/>
      </c>
      <c r="J35" s="486" t="str">
        <f>IF(Ventilation!Q28="","",Ventilation!Q28)</f>
        <v/>
      </c>
      <c r="L35" s="303"/>
      <c r="M35" s="303"/>
      <c r="N35" s="357"/>
      <c r="O35" s="358"/>
      <c r="P35" s="359"/>
    </row>
    <row r="36" spans="1:17" ht="15.5" x14ac:dyDescent="0.35">
      <c r="A36" s="396">
        <f t="shared" si="0"/>
        <v>10</v>
      </c>
      <c r="B36" s="304"/>
      <c r="C36" s="1137" t="str">
        <f>IF(Ventilation!O29="","",Ventilation!O29)</f>
        <v/>
      </c>
      <c r="D36" s="1138"/>
      <c r="E36" s="486" t="str">
        <f>IF(Ventilation!P29="","",Ventilation!P29)</f>
        <v/>
      </c>
      <c r="F36" s="531"/>
      <c r="H36" s="303"/>
      <c r="I36" s="652" t="str">
        <f>IF(Ventilation!R29="","",Ventilation!R29)</f>
        <v/>
      </c>
      <c r="J36" s="486" t="str">
        <f>IF(Ventilation!Q29="","",Ventilation!Q29)</f>
        <v/>
      </c>
      <c r="L36" s="303"/>
      <c r="M36" s="303"/>
      <c r="N36" s="357"/>
      <c r="O36" s="358"/>
      <c r="P36" s="359"/>
    </row>
    <row r="38" spans="1:17" ht="20" x14ac:dyDescent="0.35">
      <c r="B38" s="481" t="s">
        <v>917</v>
      </c>
      <c r="D38" s="482"/>
      <c r="E38" s="482"/>
      <c r="F38" s="482"/>
      <c r="G38" s="482"/>
      <c r="H38" s="482"/>
      <c r="I38" s="482"/>
      <c r="J38" s="482"/>
      <c r="K38" s="482"/>
      <c r="L38" s="482"/>
      <c r="M38" s="482"/>
      <c r="N38" s="482"/>
      <c r="O38" s="482"/>
      <c r="P38" s="482"/>
      <c r="Q38" s="481"/>
    </row>
    <row r="39" spans="1:17" ht="27.65" customHeight="1" x14ac:dyDescent="0.35">
      <c r="B39" s="483" t="s">
        <v>910</v>
      </c>
      <c r="C39" s="1134" t="s">
        <v>9</v>
      </c>
      <c r="D39" s="1135"/>
      <c r="E39" s="483" t="s">
        <v>2118</v>
      </c>
      <c r="F39" s="483" t="s">
        <v>912</v>
      </c>
      <c r="G39" s="484"/>
      <c r="H39" s="1134" t="s">
        <v>2119</v>
      </c>
      <c r="I39" s="1135"/>
      <c r="J39" s="483" t="s">
        <v>2099</v>
      </c>
      <c r="K39" s="484"/>
      <c r="L39" s="483" t="s">
        <v>915</v>
      </c>
      <c r="M39" s="483" t="s">
        <v>916</v>
      </c>
      <c r="N39" s="1134" t="s">
        <v>356</v>
      </c>
      <c r="O39" s="1136"/>
      <c r="P39" s="1135"/>
    </row>
    <row r="40" spans="1:17" ht="15.5" x14ac:dyDescent="0.35">
      <c r="A40" s="396">
        <v>1</v>
      </c>
      <c r="B40" s="304"/>
      <c r="C40" s="1137" t="str">
        <f>IF(Ventilation!B20="","",Ventilation!B20)</f>
        <v/>
      </c>
      <c r="D40" s="1138"/>
      <c r="E40" s="486" t="str">
        <f>IF(Ventilation!C20="","",Ventilation!C20)</f>
        <v/>
      </c>
      <c r="F40" s="531"/>
      <c r="G40" s="475"/>
      <c r="H40" s="1142"/>
      <c r="I40" s="1143"/>
      <c r="J40" s="726" t="str">
        <f>IF(Ventilation!H20="","",Ventilation!H20)</f>
        <v/>
      </c>
      <c r="K40" s="475"/>
      <c r="L40" s="303"/>
      <c r="M40" s="303"/>
      <c r="N40" s="1125"/>
      <c r="O40" s="1126"/>
      <c r="P40" s="1127"/>
    </row>
    <row r="41" spans="1:17" ht="15.5" x14ac:dyDescent="0.35">
      <c r="A41" s="396">
        <f>A40+1</f>
        <v>2</v>
      </c>
      <c r="B41" s="304"/>
      <c r="C41" s="1137" t="str">
        <f>IF(Ventilation!B21="","",Ventilation!B21)</f>
        <v/>
      </c>
      <c r="D41" s="1138"/>
      <c r="E41" s="486" t="str">
        <f>IF(Ventilation!C21="","",Ventilation!C21)</f>
        <v/>
      </c>
      <c r="F41" s="531" t="str">
        <f>IF('HVAC Worksheet'!I18="","",'HVAC Worksheet'!I18)</f>
        <v/>
      </c>
      <c r="G41" s="475"/>
      <c r="H41" s="1142" t="str">
        <f>IF('HVAC Worksheet'!F18="","",'HVAC Worksheet'!F18)</f>
        <v/>
      </c>
      <c r="I41" s="1143" t="str">
        <f>IF('HVAC Worksheet'!G18="","",'HVAC Worksheet'!G18)</f>
        <v/>
      </c>
      <c r="J41" s="726" t="str">
        <f>IF(Ventilation!H21="","",Ventilation!H21)</f>
        <v/>
      </c>
      <c r="K41" s="475"/>
      <c r="L41" s="303"/>
      <c r="M41" s="303"/>
      <c r="N41" s="1125"/>
      <c r="O41" s="1126"/>
      <c r="P41" s="1127"/>
    </row>
    <row r="42" spans="1:17" ht="15.5" x14ac:dyDescent="0.35">
      <c r="A42" s="396">
        <f t="shared" ref="A42:A49" si="1">A41+1</f>
        <v>3</v>
      </c>
      <c r="B42" s="304"/>
      <c r="C42" s="1137" t="str">
        <f>IF(Ventilation!B22="","",Ventilation!B22)</f>
        <v/>
      </c>
      <c r="D42" s="1138"/>
      <c r="E42" s="486" t="str">
        <f>IF(Ventilation!C22="","",Ventilation!C22)</f>
        <v/>
      </c>
      <c r="F42" s="531" t="str">
        <f>IF('HVAC Worksheet'!I19="","",'HVAC Worksheet'!I19)</f>
        <v/>
      </c>
      <c r="G42" s="475"/>
      <c r="H42" s="1142" t="str">
        <f>IF('HVAC Worksheet'!F19="","",'HVAC Worksheet'!F19)</f>
        <v/>
      </c>
      <c r="I42" s="1143" t="str">
        <f>IF('HVAC Worksheet'!G19="","",'HVAC Worksheet'!G19)</f>
        <v/>
      </c>
      <c r="J42" s="726" t="str">
        <f>IF(Ventilation!H22="","",Ventilation!H22)</f>
        <v/>
      </c>
      <c r="K42" s="475"/>
      <c r="L42" s="303"/>
      <c r="M42" s="303"/>
      <c r="N42" s="1125"/>
      <c r="O42" s="1126"/>
      <c r="P42" s="1127"/>
    </row>
    <row r="43" spans="1:17" ht="15.5" x14ac:dyDescent="0.35">
      <c r="A43" s="396">
        <f t="shared" si="1"/>
        <v>4</v>
      </c>
      <c r="B43" s="304"/>
      <c r="C43" s="1137" t="str">
        <f>IF(Ventilation!B23="","",Ventilation!B23)</f>
        <v/>
      </c>
      <c r="D43" s="1138"/>
      <c r="E43" s="486" t="str">
        <f>IF(Ventilation!C23="","",Ventilation!C23)</f>
        <v/>
      </c>
      <c r="F43" s="531" t="str">
        <f>IF('HVAC Worksheet'!I20="","",'HVAC Worksheet'!I20)</f>
        <v/>
      </c>
      <c r="G43" s="475"/>
      <c r="H43" s="1142" t="str">
        <f>IF('HVAC Worksheet'!F20="","",'HVAC Worksheet'!F20)</f>
        <v/>
      </c>
      <c r="I43" s="1143" t="str">
        <f>IF('HVAC Worksheet'!G20="","",'HVAC Worksheet'!G20)</f>
        <v/>
      </c>
      <c r="J43" s="726" t="str">
        <f>IF(Ventilation!H23="","",Ventilation!H23)</f>
        <v/>
      </c>
      <c r="K43" s="475"/>
      <c r="L43" s="303"/>
      <c r="M43" s="303"/>
      <c r="N43" s="1125"/>
      <c r="O43" s="1126"/>
      <c r="P43" s="1127"/>
    </row>
    <row r="44" spans="1:17" ht="15.5" x14ac:dyDescent="0.35">
      <c r="A44" s="396">
        <f t="shared" si="1"/>
        <v>5</v>
      </c>
      <c r="B44" s="304"/>
      <c r="C44" s="1137" t="str">
        <f>IF(Ventilation!B24="","",Ventilation!B24)</f>
        <v/>
      </c>
      <c r="D44" s="1138"/>
      <c r="E44" s="486" t="str">
        <f>IF(Ventilation!C24="","",Ventilation!C24)</f>
        <v/>
      </c>
      <c r="F44" s="531" t="str">
        <f>IF('HVAC Worksheet'!I21="","",'HVAC Worksheet'!I21)</f>
        <v/>
      </c>
      <c r="G44" s="475"/>
      <c r="H44" s="1142" t="str">
        <f>IF('HVAC Worksheet'!F21="","",'HVAC Worksheet'!F21)</f>
        <v/>
      </c>
      <c r="I44" s="1143" t="str">
        <f>IF('HVAC Worksheet'!G21="","",'HVAC Worksheet'!G21)</f>
        <v/>
      </c>
      <c r="J44" s="726" t="str">
        <f>IF(Ventilation!H24="","",Ventilation!H24)</f>
        <v/>
      </c>
      <c r="K44" s="475"/>
      <c r="L44" s="303"/>
      <c r="M44" s="303"/>
      <c r="N44" s="1125"/>
      <c r="O44" s="1126"/>
      <c r="P44" s="1127"/>
    </row>
    <row r="45" spans="1:17" ht="15.5" x14ac:dyDescent="0.35">
      <c r="A45" s="396">
        <f t="shared" si="1"/>
        <v>6</v>
      </c>
      <c r="B45" s="304"/>
      <c r="C45" s="1137" t="str">
        <f>IF(Ventilation!B25="","",Ventilation!B25)</f>
        <v/>
      </c>
      <c r="D45" s="1138"/>
      <c r="E45" s="486" t="str">
        <f>IF(Ventilation!C25="","",Ventilation!C25)</f>
        <v/>
      </c>
      <c r="F45" s="531" t="str">
        <f>IF('HVAC Worksheet'!I22="","",'HVAC Worksheet'!I22)</f>
        <v/>
      </c>
      <c r="G45" s="475"/>
      <c r="H45" s="1142" t="str">
        <f>IF('HVAC Worksheet'!F22="","",'HVAC Worksheet'!F22)</f>
        <v/>
      </c>
      <c r="I45" s="1143" t="str">
        <f>IF('HVAC Worksheet'!G22="","",'HVAC Worksheet'!G22)</f>
        <v/>
      </c>
      <c r="J45" s="726" t="str">
        <f>IF(Ventilation!H25="","",Ventilation!H25)</f>
        <v/>
      </c>
      <c r="K45" s="475"/>
      <c r="L45" s="303"/>
      <c r="M45" s="303"/>
      <c r="N45" s="1125"/>
      <c r="O45" s="1126"/>
      <c r="P45" s="1127"/>
    </row>
    <row r="46" spans="1:17" ht="15.5" x14ac:dyDescent="0.35">
      <c r="A46" s="396">
        <f t="shared" si="1"/>
        <v>7</v>
      </c>
      <c r="B46" s="304"/>
      <c r="C46" s="1137" t="str">
        <f>IF(Ventilation!B26="","",Ventilation!B26)</f>
        <v/>
      </c>
      <c r="D46" s="1138"/>
      <c r="E46" s="486" t="str">
        <f>IF(Ventilation!C26="","",Ventilation!C26)</f>
        <v/>
      </c>
      <c r="F46" s="531" t="str">
        <f>IF('HVAC Worksheet'!I23="","",'HVAC Worksheet'!I23)</f>
        <v/>
      </c>
      <c r="G46" s="475"/>
      <c r="H46" s="1142" t="str">
        <f>IF('HVAC Worksheet'!F23="","",'HVAC Worksheet'!F23)</f>
        <v/>
      </c>
      <c r="I46" s="1143" t="str">
        <f>IF('HVAC Worksheet'!G23="","",'HVAC Worksheet'!G23)</f>
        <v/>
      </c>
      <c r="J46" s="726" t="str">
        <f>IF(Ventilation!H26="","",Ventilation!H26)</f>
        <v/>
      </c>
      <c r="K46" s="475"/>
      <c r="L46" s="303"/>
      <c r="M46" s="303"/>
      <c r="N46" s="354"/>
      <c r="O46" s="355"/>
      <c r="P46" s="356"/>
    </row>
    <row r="47" spans="1:17" ht="15.5" x14ac:dyDescent="0.35">
      <c r="A47" s="396">
        <f t="shared" si="1"/>
        <v>8</v>
      </c>
      <c r="B47" s="304"/>
      <c r="C47" s="1137" t="str">
        <f>IF(Ventilation!B27="","",Ventilation!B27)</f>
        <v/>
      </c>
      <c r="D47" s="1138"/>
      <c r="E47" s="486" t="str">
        <f>IF(Ventilation!C27="","",Ventilation!C27)</f>
        <v/>
      </c>
      <c r="F47" s="531" t="str">
        <f>IF('HVAC Worksheet'!I24="","",'HVAC Worksheet'!I24)</f>
        <v/>
      </c>
      <c r="G47" s="475"/>
      <c r="H47" s="1142" t="str">
        <f>IF('HVAC Worksheet'!F24="","",'HVAC Worksheet'!F24)</f>
        <v/>
      </c>
      <c r="I47" s="1143" t="str">
        <f>IF('HVAC Worksheet'!G24="","",'HVAC Worksheet'!G24)</f>
        <v/>
      </c>
      <c r="J47" s="726" t="str">
        <f>IF(Ventilation!H27="","",Ventilation!H27)</f>
        <v/>
      </c>
      <c r="K47" s="475"/>
      <c r="L47" s="303"/>
      <c r="M47" s="303"/>
      <c r="N47" s="354"/>
      <c r="O47" s="355"/>
      <c r="P47" s="356"/>
    </row>
    <row r="48" spans="1:17" ht="15.5" x14ac:dyDescent="0.35">
      <c r="A48" s="396">
        <f t="shared" si="1"/>
        <v>9</v>
      </c>
      <c r="B48" s="304"/>
      <c r="C48" s="1137" t="str">
        <f>IF(Ventilation!B28="","",Ventilation!B28)</f>
        <v/>
      </c>
      <c r="D48" s="1138"/>
      <c r="E48" s="486" t="str">
        <f>IF(Ventilation!C28="","",Ventilation!C28)</f>
        <v/>
      </c>
      <c r="F48" s="531" t="str">
        <f>IF('HVAC Worksheet'!I25="","",'HVAC Worksheet'!I25)</f>
        <v/>
      </c>
      <c r="G48" s="475"/>
      <c r="H48" s="1142" t="str">
        <f>IF('HVAC Worksheet'!F25="","",'HVAC Worksheet'!F25)</f>
        <v/>
      </c>
      <c r="I48" s="1143" t="str">
        <f>IF('HVAC Worksheet'!G25="","",'HVAC Worksheet'!G25)</f>
        <v/>
      </c>
      <c r="J48" s="726" t="str">
        <f>IF(Ventilation!H28="","",Ventilation!H28)</f>
        <v/>
      </c>
      <c r="K48" s="475"/>
      <c r="L48" s="303"/>
      <c r="M48" s="303"/>
      <c r="N48" s="354"/>
      <c r="O48" s="355"/>
      <c r="P48" s="356"/>
    </row>
    <row r="49" spans="1:16" ht="15.5" x14ac:dyDescent="0.35">
      <c r="A49" s="396">
        <f t="shared" si="1"/>
        <v>10</v>
      </c>
      <c r="B49" s="304"/>
      <c r="C49" s="1137" t="str">
        <f>IF(Ventilation!B29="","",Ventilation!B29)</f>
        <v/>
      </c>
      <c r="D49" s="1138"/>
      <c r="E49" s="486" t="str">
        <f>IF(Ventilation!C29="","",Ventilation!C29)</f>
        <v/>
      </c>
      <c r="F49" s="531" t="str">
        <f>IF('HVAC Worksheet'!I26="","",'HVAC Worksheet'!I26)</f>
        <v/>
      </c>
      <c r="G49" s="475"/>
      <c r="H49" s="1142" t="str">
        <f>IF('HVAC Worksheet'!F26="","",'HVAC Worksheet'!F26)</f>
        <v/>
      </c>
      <c r="I49" s="1143" t="str">
        <f>IF('HVAC Worksheet'!G26="","",'HVAC Worksheet'!G26)</f>
        <v/>
      </c>
      <c r="J49" s="726" t="str">
        <f>IF(Ventilation!H29="","",Ventilation!H29)</f>
        <v/>
      </c>
      <c r="K49" s="475"/>
      <c r="L49" s="303"/>
      <c r="M49" s="303"/>
      <c r="N49" s="354"/>
      <c r="O49" s="355"/>
      <c r="P49" s="356"/>
    </row>
  </sheetData>
  <sheetProtection algorithmName="SHA-512" hashValue="wvXRgEeJaL6KVqReS/502e/9aM0h8w6KUSCrukWzTRHQoHjnXevZjc41eM4ccqYyeiKJmFBjgKofAkRDFtzCFg==" saltValue="dTnnc7sUH/kM06ry7IYx3Q==" spinCount="100000" sheet="1" objects="1" scenarios="1"/>
  <mergeCells count="53">
    <mergeCell ref="C28:D28"/>
    <mergeCell ref="N28:P28"/>
    <mergeCell ref="H7:P7"/>
    <mergeCell ref="J9:K9"/>
    <mergeCell ref="N9:O9"/>
    <mergeCell ref="J11:K11"/>
    <mergeCell ref="N11:O11"/>
    <mergeCell ref="J13:K13"/>
    <mergeCell ref="N13:O13"/>
    <mergeCell ref="O24:P24"/>
    <mergeCell ref="C26:D26"/>
    <mergeCell ref="N26:P26"/>
    <mergeCell ref="C27:D27"/>
    <mergeCell ref="N27:P27"/>
    <mergeCell ref="N29:P29"/>
    <mergeCell ref="C30:D30"/>
    <mergeCell ref="N30:P30"/>
    <mergeCell ref="C31:D31"/>
    <mergeCell ref="C32:D32"/>
    <mergeCell ref="C33:D33"/>
    <mergeCell ref="C34:D34"/>
    <mergeCell ref="C35:D35"/>
    <mergeCell ref="C36:D36"/>
    <mergeCell ref="C29:D29"/>
    <mergeCell ref="C39:D39"/>
    <mergeCell ref="N39:P39"/>
    <mergeCell ref="C40:D40"/>
    <mergeCell ref="N40:P40"/>
    <mergeCell ref="C41:D41"/>
    <mergeCell ref="N41:P41"/>
    <mergeCell ref="H40:I40"/>
    <mergeCell ref="H39:I39"/>
    <mergeCell ref="H41:I41"/>
    <mergeCell ref="C42:D42"/>
    <mergeCell ref="N42:P42"/>
    <mergeCell ref="C43:D43"/>
    <mergeCell ref="N43:P43"/>
    <mergeCell ref="C44:D44"/>
    <mergeCell ref="N44:P44"/>
    <mergeCell ref="H42:I42"/>
    <mergeCell ref="H43:I43"/>
    <mergeCell ref="H44:I44"/>
    <mergeCell ref="N45:P45"/>
    <mergeCell ref="C46:D46"/>
    <mergeCell ref="C47:D47"/>
    <mergeCell ref="C48:D48"/>
    <mergeCell ref="H49:I49"/>
    <mergeCell ref="C49:D49"/>
    <mergeCell ref="H45:I45"/>
    <mergeCell ref="H46:I46"/>
    <mergeCell ref="H47:I47"/>
    <mergeCell ref="H48:I48"/>
    <mergeCell ref="C45:D45"/>
  </mergeCells>
  <pageMargins left="0.7" right="0.7" top="0.75" bottom="0.75" header="0.3" footer="0.3"/>
  <pageSetup scale="4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9"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59400"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59401"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59402"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59403"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59404"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41BF9-0914-44BB-A2CB-3C97537237F2}">
  <sheetPr codeName="Sheet22">
    <tabColor rgb="FF00B0F0"/>
  </sheetPr>
  <dimension ref="A1:Y48"/>
  <sheetViews>
    <sheetView showGridLines="0" zoomScale="90" zoomScaleNormal="90" workbookViewId="0"/>
  </sheetViews>
  <sheetFormatPr defaultColWidth="8.81640625" defaultRowHeight="14.5" x14ac:dyDescent="0.35"/>
  <cols>
    <col min="1" max="1" width="3.54296875" style="396" customWidth="1"/>
    <col min="2" max="2" width="9.54296875" style="396" customWidth="1"/>
    <col min="3" max="3" width="12.54296875" style="396" customWidth="1"/>
    <col min="4" max="4" width="25.54296875" style="396" customWidth="1"/>
    <col min="5" max="5" width="14.453125" style="396" customWidth="1"/>
    <col min="6" max="6" width="7.453125" style="396" bestFit="1" customWidth="1"/>
    <col min="7" max="7" width="3.54296875" style="396" customWidth="1"/>
    <col min="8" max="8" width="14" style="396" customWidth="1"/>
    <col min="9" max="9" width="18.1796875" style="396" customWidth="1"/>
    <col min="10" max="10" width="32.54296875" style="396" customWidth="1"/>
    <col min="11" max="11" width="3.54296875" style="396" customWidth="1"/>
    <col min="12" max="12" width="7.453125" style="396" customWidth="1"/>
    <col min="13" max="13" width="10.453125" style="396" customWidth="1"/>
    <col min="14" max="14" width="18.81640625" style="396" customWidth="1"/>
    <col min="15" max="15" width="13.453125" style="396" customWidth="1"/>
    <col min="16" max="16" width="13.81640625" style="396" customWidth="1"/>
    <col min="17" max="16384" width="8.81640625" style="396"/>
  </cols>
  <sheetData>
    <row r="1" spans="2:18" ht="30" x14ac:dyDescent="0.35">
      <c r="B1" s="302" t="str">
        <f>Development!B4&amp;" "&amp;Development!B2</f>
        <v>2024 Commercial Efficiency Program</v>
      </c>
      <c r="D1" s="302"/>
      <c r="E1" s="302"/>
      <c r="F1" s="302"/>
      <c r="G1" s="302"/>
      <c r="H1" s="302"/>
      <c r="I1" s="302"/>
      <c r="J1" s="302"/>
      <c r="K1" s="302"/>
      <c r="L1" s="302"/>
      <c r="M1" s="302"/>
    </row>
    <row r="3" spans="2:18" ht="23" x14ac:dyDescent="0.35">
      <c r="C3" s="472" t="str">
        <f>"HVLS Inspection Form "&amp;Development!B4&amp;" version - "&amp;Development!B5</f>
        <v>HVLS Inspection Form 2024 version - 2.0</v>
      </c>
      <c r="D3" s="472"/>
      <c r="E3" s="472"/>
      <c r="F3" s="472"/>
      <c r="G3" s="472"/>
      <c r="H3" s="472"/>
      <c r="I3" s="472"/>
      <c r="J3" s="472"/>
      <c r="K3" s="472"/>
      <c r="L3" s="472"/>
      <c r="M3" s="472"/>
      <c r="N3" s="472"/>
      <c r="O3" s="472"/>
    </row>
    <row r="5" spans="2:18" ht="24" customHeight="1" x14ac:dyDescent="0.35">
      <c r="C5" s="31" t="s">
        <v>1645</v>
      </c>
      <c r="D5" s="473" t="str">
        <f>IF(WkshtName="","",WkshtName)</f>
        <v>PSEGLI_2023 HVAC Worksheet_VERSION 1.0.xlsm</v>
      </c>
      <c r="E5" s="474"/>
    </row>
    <row r="6" spans="2:18" ht="24" customHeight="1" x14ac:dyDescent="0.35">
      <c r="C6" s="31" t="s">
        <v>1226</v>
      </c>
      <c r="D6" s="473" t="str">
        <f>IF('Customer Information'!L42="","",'Customer Information'!L42)</f>
        <v/>
      </c>
      <c r="E6" s="474"/>
    </row>
    <row r="7" spans="2:18" ht="24" customHeight="1" x14ac:dyDescent="0.35">
      <c r="C7" s="31" t="s">
        <v>0</v>
      </c>
      <c r="D7" s="473" t="str">
        <f>IF('HVAC Worksheet'!C7="","",'HVAC Worksheet'!C7)</f>
        <v/>
      </c>
      <c r="E7" s="474"/>
      <c r="F7" s="475"/>
      <c r="G7" s="475"/>
      <c r="H7" s="1128" t="s">
        <v>901</v>
      </c>
      <c r="I7" s="1129"/>
      <c r="J7" s="1129"/>
      <c r="K7" s="1129"/>
      <c r="L7" s="1129"/>
      <c r="M7" s="1129"/>
      <c r="N7" s="1129"/>
      <c r="O7" s="1129"/>
      <c r="P7" s="1130"/>
      <c r="R7" s="476"/>
    </row>
    <row r="8" spans="2:18" ht="25.4" customHeight="1" x14ac:dyDescent="0.35">
      <c r="C8" s="31" t="s">
        <v>2</v>
      </c>
      <c r="D8" s="473" t="str">
        <f>IF('HVAC Worksheet'!C8="","",'HVAC Worksheet'!C8)</f>
        <v/>
      </c>
      <c r="E8" s="474"/>
      <c r="F8" s="475"/>
      <c r="G8" s="475"/>
      <c r="H8" s="477"/>
      <c r="I8" s="475"/>
      <c r="J8" s="475"/>
      <c r="K8" s="475"/>
      <c r="L8" s="475"/>
      <c r="M8" s="475"/>
      <c r="N8" s="475"/>
      <c r="O8" s="475"/>
      <c r="P8" s="279"/>
      <c r="R8" s="2"/>
    </row>
    <row r="9" spans="2:18" ht="25.4" customHeight="1" x14ac:dyDescent="0.35">
      <c r="C9" s="31" t="s">
        <v>921</v>
      </c>
      <c r="D9" s="473" t="str">
        <f>IF('HVAC Worksheet'!C9="","",'HVAC Worksheet'!C9)</f>
        <v/>
      </c>
      <c r="E9" s="474"/>
      <c r="F9" s="475"/>
      <c r="H9" s="477"/>
      <c r="I9" s="31" t="s">
        <v>902</v>
      </c>
      <c r="J9" s="1131"/>
      <c r="K9" s="1131"/>
      <c r="L9" s="475"/>
      <c r="M9" s="31" t="s">
        <v>903</v>
      </c>
      <c r="N9" s="1132"/>
      <c r="O9" s="1132"/>
      <c r="P9" s="478"/>
    </row>
    <row r="10" spans="2:18" ht="25.4" customHeight="1" x14ac:dyDescent="0.35">
      <c r="C10" s="31" t="s">
        <v>5</v>
      </c>
      <c r="D10" s="473" t="str">
        <f>IF('HVAC Worksheet'!C10="","",'HVAC Worksheet'!C10)</f>
        <v/>
      </c>
      <c r="E10" s="474"/>
      <c r="F10" s="475"/>
      <c r="H10" s="477"/>
      <c r="I10" s="475"/>
      <c r="J10" s="475"/>
      <c r="M10" s="475"/>
      <c r="N10" s="475"/>
      <c r="O10" s="475"/>
      <c r="P10" s="479"/>
    </row>
    <row r="11" spans="2:18" ht="25.4" customHeight="1" x14ac:dyDescent="0.35">
      <c r="C11" s="31" t="s">
        <v>4</v>
      </c>
      <c r="D11" s="480" t="str">
        <f>IF('HVAC Worksheet'!G9="","",'HVAC Worksheet'!G9)</f>
        <v/>
      </c>
      <c r="E11" s="474" t="str">
        <f>IF('HVAC Worksheet'!E11="","",'HVAC Worksheet'!E11)</f>
        <v/>
      </c>
      <c r="F11" s="475"/>
      <c r="H11" s="477"/>
      <c r="I11" s="31" t="s">
        <v>904</v>
      </c>
      <c r="J11" s="1131"/>
      <c r="K11" s="1131"/>
      <c r="L11" s="475"/>
      <c r="M11" s="31" t="s">
        <v>905</v>
      </c>
      <c r="N11" s="1132"/>
      <c r="O11" s="1132"/>
      <c r="P11" s="478"/>
    </row>
    <row r="12" spans="2:18" ht="25.4" customHeight="1" x14ac:dyDescent="0.35">
      <c r="C12" s="31" t="s">
        <v>8</v>
      </c>
      <c r="D12" s="480" t="str">
        <f>IF('HVAC Worksheet'!G11="","",'HVAC Worksheet'!G11)</f>
        <v/>
      </c>
      <c r="E12" s="474" t="str">
        <f>IF('HVAC Worksheet'!E12="","",'HVAC Worksheet'!E12)</f>
        <v/>
      </c>
      <c r="F12" s="475"/>
      <c r="H12" s="477"/>
      <c r="I12" s="475"/>
      <c r="J12" s="475"/>
      <c r="M12" s="475"/>
      <c r="N12" s="475"/>
      <c r="O12" s="475"/>
      <c r="P12" s="479"/>
    </row>
    <row r="13" spans="2:18" ht="25.4" customHeight="1" x14ac:dyDescent="0.35">
      <c r="C13" s="31" t="s">
        <v>906</v>
      </c>
      <c r="D13" s="473" t="str">
        <f>IF('HVAC Worksheet'!G7="","",'HVAC Worksheet'!G7)</f>
        <v>Select …</v>
      </c>
      <c r="E13" s="474"/>
      <c r="F13" s="475"/>
      <c r="H13" s="477"/>
      <c r="I13" s="31" t="s">
        <v>907</v>
      </c>
      <c r="J13" s="1131"/>
      <c r="K13" s="1131"/>
      <c r="L13" s="475"/>
      <c r="M13" s="31" t="s">
        <v>908</v>
      </c>
      <c r="N13" s="1132"/>
      <c r="O13" s="1132"/>
      <c r="P13" s="478"/>
    </row>
    <row r="14" spans="2:18" ht="25.4" customHeight="1" x14ac:dyDescent="0.35">
      <c r="C14" s="573" t="s">
        <v>1648</v>
      </c>
      <c r="D14" s="574"/>
      <c r="E14" s="575"/>
      <c r="F14" s="475"/>
      <c r="G14" s="475"/>
      <c r="H14" s="738"/>
      <c r="I14" s="475"/>
      <c r="J14" s="475"/>
      <c r="K14" s="475"/>
      <c r="L14" s="475"/>
      <c r="M14" s="475"/>
      <c r="N14" s="475"/>
      <c r="O14" s="475"/>
      <c r="P14" s="279"/>
      <c r="R14" s="2"/>
    </row>
    <row r="15" spans="2:18" ht="25.4" customHeight="1" x14ac:dyDescent="0.35">
      <c r="C15" s="573"/>
      <c r="D15" s="734"/>
      <c r="E15" s="735"/>
      <c r="F15" s="475"/>
      <c r="G15" s="475"/>
      <c r="H15" s="738" t="s">
        <v>2124</v>
      </c>
      <c r="I15" s="475"/>
      <c r="J15" s="475"/>
      <c r="K15" s="475"/>
      <c r="L15" s="475"/>
      <c r="M15" s="475"/>
      <c r="N15" s="475"/>
      <c r="O15" s="475"/>
      <c r="P15" s="279"/>
      <c r="R15" s="2"/>
    </row>
    <row r="16" spans="2:18" ht="25.4" customHeight="1" x14ac:dyDescent="0.35">
      <c r="C16" s="573"/>
      <c r="D16" s="734"/>
      <c r="E16" s="735"/>
      <c r="F16" s="475"/>
      <c r="G16" s="475"/>
      <c r="H16" s="738"/>
      <c r="I16" s="475"/>
      <c r="J16" s="475"/>
      <c r="K16" s="475"/>
      <c r="L16" s="475"/>
      <c r="M16" s="475"/>
      <c r="N16" s="475"/>
      <c r="O16" s="475"/>
      <c r="P16" s="279"/>
      <c r="R16" s="2"/>
    </row>
    <row r="17" spans="1:25" ht="25.4" customHeight="1" x14ac:dyDescent="0.35">
      <c r="C17" s="573"/>
      <c r="D17" s="734"/>
      <c r="E17" s="735"/>
      <c r="F17" s="475"/>
      <c r="G17" s="475"/>
      <c r="H17" s="738" t="s">
        <v>2125</v>
      </c>
      <c r="I17" s="475"/>
      <c r="J17" s="475"/>
      <c r="K17" s="475"/>
      <c r="L17" s="475"/>
      <c r="M17" s="475"/>
      <c r="N17" s="475"/>
      <c r="O17" s="475"/>
      <c r="P17" s="279"/>
      <c r="R17" s="2"/>
    </row>
    <row r="18" spans="1:25" ht="25.4" customHeight="1" x14ac:dyDescent="0.35">
      <c r="C18" s="573"/>
      <c r="D18" s="734"/>
      <c r="E18" s="735"/>
      <c r="F18" s="475"/>
      <c r="G18" s="475"/>
      <c r="H18" s="738"/>
      <c r="I18" s="475"/>
      <c r="J18" s="475"/>
      <c r="K18" s="475"/>
      <c r="L18" s="475"/>
      <c r="M18" s="475"/>
      <c r="N18" s="475"/>
      <c r="O18" s="475"/>
      <c r="P18" s="279"/>
      <c r="R18" s="2"/>
    </row>
    <row r="19" spans="1:25" ht="25.4" customHeight="1" x14ac:dyDescent="0.35">
      <c r="C19" s="573"/>
      <c r="D19" s="734"/>
      <c r="E19" s="735"/>
      <c r="F19" s="475"/>
      <c r="G19" s="475"/>
      <c r="H19" s="738" t="s">
        <v>2126</v>
      </c>
      <c r="I19" s="475"/>
      <c r="J19" s="475"/>
      <c r="K19" s="475"/>
      <c r="L19" s="475"/>
      <c r="M19" s="475"/>
      <c r="N19" s="475"/>
      <c r="O19" s="475"/>
      <c r="P19" s="279"/>
      <c r="R19" s="2"/>
    </row>
    <row r="20" spans="1:25" ht="25.4" customHeight="1" x14ac:dyDescent="0.35">
      <c r="C20" s="573"/>
      <c r="D20" s="734"/>
      <c r="E20" s="735"/>
      <c r="F20" s="475"/>
      <c r="G20" s="475"/>
      <c r="H20" s="738"/>
      <c r="I20" s="475"/>
      <c r="J20" s="475"/>
      <c r="K20" s="475"/>
      <c r="L20" s="475"/>
      <c r="M20" s="475"/>
      <c r="N20" s="475"/>
      <c r="O20" s="475"/>
      <c r="P20" s="279"/>
      <c r="R20" s="2"/>
    </row>
    <row r="21" spans="1:25" ht="25.4" customHeight="1" x14ac:dyDescent="0.35">
      <c r="C21" s="573"/>
      <c r="D21" s="734"/>
      <c r="E21" s="735"/>
      <c r="F21" s="475"/>
      <c r="G21" s="475"/>
      <c r="H21" s="742" t="s">
        <v>2127</v>
      </c>
      <c r="I21" s="474"/>
      <c r="J21" s="474"/>
      <c r="K21" s="474"/>
      <c r="L21" s="474"/>
      <c r="M21" s="474"/>
      <c r="N21" s="474"/>
      <c r="O21" s="474"/>
      <c r="P21" s="278"/>
      <c r="R21" s="2"/>
    </row>
    <row r="22" spans="1:25" ht="25.4" customHeight="1" x14ac:dyDescent="0.35">
      <c r="C22" s="573"/>
      <c r="D22" s="734"/>
      <c r="E22" s="735"/>
      <c r="F22" s="475"/>
      <c r="G22" s="475"/>
      <c r="H22" s="475"/>
      <c r="I22" s="475"/>
      <c r="J22" s="475"/>
      <c r="K22" s="475"/>
      <c r="L22" s="475"/>
      <c r="M22" s="475"/>
      <c r="N22" s="475"/>
      <c r="O22" s="475"/>
      <c r="P22" s="2"/>
      <c r="R22" s="2"/>
    </row>
    <row r="23" spans="1:25" ht="15.5" x14ac:dyDescent="0.35">
      <c r="C23" s="475"/>
      <c r="D23" s="475"/>
      <c r="E23" s="475"/>
      <c r="F23" s="475"/>
      <c r="G23" s="475"/>
      <c r="H23" s="475"/>
      <c r="I23" s="475"/>
      <c r="J23" s="475"/>
      <c r="K23" s="475"/>
      <c r="L23" s="475"/>
      <c r="N23" s="31" t="s">
        <v>1226</v>
      </c>
      <c r="O23" s="1133" t="str">
        <f>IF('HVAC Worksheet'!$C$12="","",'HVAC Worksheet'!$C$12)</f>
        <v/>
      </c>
      <c r="P23" s="1133"/>
    </row>
    <row r="24" spans="1:25" ht="20" x14ac:dyDescent="0.35">
      <c r="B24" s="481" t="s">
        <v>909</v>
      </c>
      <c r="D24" s="482"/>
      <c r="E24" s="482"/>
      <c r="F24" s="482"/>
      <c r="G24" s="482"/>
      <c r="H24" s="482"/>
      <c r="I24" s="482"/>
      <c r="J24" s="482"/>
      <c r="K24" s="482"/>
      <c r="L24" s="482"/>
      <c r="M24" s="482"/>
      <c r="N24" s="482"/>
      <c r="O24" s="482"/>
      <c r="P24" s="482"/>
      <c r="Q24" s="481"/>
      <c r="R24" s="481"/>
      <c r="S24" s="481"/>
      <c r="T24" s="481"/>
      <c r="U24" s="481"/>
      <c r="V24" s="481"/>
      <c r="W24" s="481"/>
      <c r="X24" s="481"/>
      <c r="Y24" s="481"/>
    </row>
    <row r="25" spans="1:25" s="485" customFormat="1" ht="27" customHeight="1" x14ac:dyDescent="0.35">
      <c r="B25" s="483" t="s">
        <v>910</v>
      </c>
      <c r="C25" s="1134" t="s">
        <v>2120</v>
      </c>
      <c r="D25" s="1135"/>
      <c r="E25" s="483" t="s">
        <v>865</v>
      </c>
      <c r="F25" s="483" t="s">
        <v>912</v>
      </c>
      <c r="G25" s="484"/>
      <c r="H25" s="483" t="s">
        <v>915</v>
      </c>
      <c r="I25" s="483" t="s">
        <v>916</v>
      </c>
      <c r="J25" s="1134" t="s">
        <v>356</v>
      </c>
      <c r="K25" s="1136"/>
      <c r="L25" s="1135"/>
    </row>
    <row r="26" spans="1:25" ht="15.5" x14ac:dyDescent="0.35">
      <c r="A26" s="396">
        <v>1</v>
      </c>
      <c r="B26" s="304"/>
      <c r="C26" s="1137" t="str">
        <f>IF(Ventilation!O36="","",Ventilation!O36)</f>
        <v/>
      </c>
      <c r="D26" s="1138"/>
      <c r="E26" s="486" t="str">
        <f>IF(Ventilation!H36="","",Ventilation!H36)</f>
        <v/>
      </c>
      <c r="F26" s="727" t="str">
        <f>IF(Ventilation!R36="","",Ventilation!R36)</f>
        <v/>
      </c>
      <c r="H26" s="303"/>
      <c r="I26" s="303"/>
      <c r="J26" s="1139"/>
      <c r="K26" s="1140"/>
      <c r="L26" s="1141"/>
    </row>
    <row r="27" spans="1:25" ht="15.5" x14ac:dyDescent="0.35">
      <c r="A27" s="396">
        <f>A26+1</f>
        <v>2</v>
      </c>
      <c r="B27" s="304"/>
      <c r="C27" s="1137" t="str">
        <f>IF(Ventilation!O37="","",Ventilation!O37)</f>
        <v/>
      </c>
      <c r="D27" s="1138"/>
      <c r="E27" s="486" t="str">
        <f>IF(Ventilation!H37="","",Ventilation!H37)</f>
        <v/>
      </c>
      <c r="F27" s="727" t="str">
        <f>IF(Ventilation!R37="","",Ventilation!R37)</f>
        <v/>
      </c>
      <c r="H27" s="303"/>
      <c r="I27" s="303"/>
      <c r="J27" s="1139"/>
      <c r="K27" s="1140"/>
      <c r="L27" s="1141"/>
    </row>
    <row r="28" spans="1:25" ht="15.5" x14ac:dyDescent="0.35">
      <c r="A28" s="396">
        <f t="shared" ref="A28:A35" si="0">A27+1</f>
        <v>3</v>
      </c>
      <c r="B28" s="304"/>
      <c r="C28" s="1137" t="str">
        <f>IF(Ventilation!O38="","",Ventilation!O38)</f>
        <v/>
      </c>
      <c r="D28" s="1138"/>
      <c r="E28" s="486" t="str">
        <f>IF(Ventilation!H38="","",Ventilation!H38)</f>
        <v/>
      </c>
      <c r="F28" s="727" t="str">
        <f>IF(Ventilation!R38="","",Ventilation!R38)</f>
        <v/>
      </c>
      <c r="H28" s="303"/>
      <c r="I28" s="303"/>
      <c r="J28" s="1139"/>
      <c r="K28" s="1140"/>
      <c r="L28" s="1141"/>
    </row>
    <row r="29" spans="1:25" ht="15.5" x14ac:dyDescent="0.35">
      <c r="A29" s="396">
        <f t="shared" si="0"/>
        <v>4</v>
      </c>
      <c r="B29" s="304"/>
      <c r="C29" s="1137" t="str">
        <f>IF(Ventilation!O39="","",Ventilation!O39)</f>
        <v/>
      </c>
      <c r="D29" s="1138"/>
      <c r="E29" s="486" t="str">
        <f>IF(Ventilation!H39="","",Ventilation!H39)</f>
        <v/>
      </c>
      <c r="F29" s="727" t="str">
        <f>IF(Ventilation!R39="","",Ventilation!R39)</f>
        <v/>
      </c>
      <c r="H29" s="303"/>
      <c r="I29" s="303"/>
      <c r="J29" s="1139"/>
      <c r="K29" s="1140"/>
      <c r="L29" s="1141"/>
    </row>
    <row r="30" spans="1:25" ht="15.5" x14ac:dyDescent="0.35">
      <c r="A30" s="396">
        <f t="shared" si="0"/>
        <v>5</v>
      </c>
      <c r="B30" s="304"/>
      <c r="C30" s="1137" t="str">
        <f>IF(Ventilation!O40="","",Ventilation!O40)</f>
        <v/>
      </c>
      <c r="D30" s="1138"/>
      <c r="E30" s="486" t="str">
        <f>IF(Ventilation!H40="","",Ventilation!H40)</f>
        <v/>
      </c>
      <c r="F30" s="727" t="str">
        <f>IF(Ventilation!R40="","",Ventilation!R40)</f>
        <v/>
      </c>
      <c r="H30" s="303"/>
      <c r="I30" s="303"/>
      <c r="J30" s="357"/>
      <c r="K30" s="358"/>
      <c r="L30" s="359"/>
    </row>
    <row r="31" spans="1:25" ht="15.5" x14ac:dyDescent="0.35">
      <c r="A31" s="396">
        <f t="shared" si="0"/>
        <v>6</v>
      </c>
      <c r="B31" s="304"/>
      <c r="C31" s="1137" t="str">
        <f>IF(Ventilation!O41="","",Ventilation!O41)</f>
        <v/>
      </c>
      <c r="D31" s="1138"/>
      <c r="E31" s="486" t="str">
        <f>IF(Ventilation!H41="","",Ventilation!H41)</f>
        <v/>
      </c>
      <c r="F31" s="727" t="str">
        <f>IF(Ventilation!R41="","",Ventilation!R41)</f>
        <v/>
      </c>
      <c r="H31" s="303"/>
      <c r="I31" s="303"/>
      <c r="J31" s="357"/>
      <c r="K31" s="358"/>
      <c r="L31" s="359"/>
    </row>
    <row r="32" spans="1:25" ht="15.5" x14ac:dyDescent="0.35">
      <c r="A32" s="396">
        <f t="shared" si="0"/>
        <v>7</v>
      </c>
      <c r="B32" s="304"/>
      <c r="C32" s="1137" t="str">
        <f>IF(Ventilation!O42="","",Ventilation!O42)</f>
        <v/>
      </c>
      <c r="D32" s="1138"/>
      <c r="E32" s="486" t="str">
        <f>IF(Ventilation!H42="","",Ventilation!H42)</f>
        <v/>
      </c>
      <c r="F32" s="727" t="str">
        <f>IF(Ventilation!R42="","",Ventilation!R42)</f>
        <v/>
      </c>
      <c r="H32" s="303"/>
      <c r="I32" s="303"/>
      <c r="J32" s="357"/>
      <c r="K32" s="358"/>
      <c r="L32" s="359"/>
    </row>
    <row r="33" spans="1:17" ht="15.5" x14ac:dyDescent="0.35">
      <c r="A33" s="396">
        <f t="shared" si="0"/>
        <v>8</v>
      </c>
      <c r="B33" s="304"/>
      <c r="C33" s="1137" t="str">
        <f>IF(Ventilation!O43="","",Ventilation!O43)</f>
        <v/>
      </c>
      <c r="D33" s="1138"/>
      <c r="E33" s="486" t="str">
        <f>IF(Ventilation!H43="","",Ventilation!H43)</f>
        <v/>
      </c>
      <c r="F33" s="727" t="str">
        <f>IF(Ventilation!R43="","",Ventilation!R43)</f>
        <v/>
      </c>
      <c r="H33" s="303"/>
      <c r="I33" s="303"/>
      <c r="J33" s="357"/>
      <c r="K33" s="358"/>
      <c r="L33" s="359"/>
    </row>
    <row r="34" spans="1:17" ht="15.5" x14ac:dyDescent="0.35">
      <c r="A34" s="396">
        <f t="shared" si="0"/>
        <v>9</v>
      </c>
      <c r="B34" s="304"/>
      <c r="C34" s="1137" t="str">
        <f>IF(Ventilation!O44="","",Ventilation!O44)</f>
        <v/>
      </c>
      <c r="D34" s="1138"/>
      <c r="E34" s="486" t="str">
        <f>IF(Ventilation!H44="","",Ventilation!H44)</f>
        <v/>
      </c>
      <c r="F34" s="727" t="str">
        <f>IF(Ventilation!R44="","",Ventilation!R44)</f>
        <v/>
      </c>
      <c r="H34" s="303"/>
      <c r="I34" s="303"/>
      <c r="J34" s="357"/>
      <c r="K34" s="358"/>
      <c r="L34" s="359"/>
    </row>
    <row r="35" spans="1:17" ht="15.5" x14ac:dyDescent="0.35">
      <c r="A35" s="396">
        <f t="shared" si="0"/>
        <v>10</v>
      </c>
      <c r="B35" s="304"/>
      <c r="C35" s="1137" t="str">
        <f>IF(Ventilation!O45="","",Ventilation!O45)</f>
        <v/>
      </c>
      <c r="D35" s="1138"/>
      <c r="E35" s="486" t="str">
        <f>IF(Ventilation!H45="","",Ventilation!H45)</f>
        <v/>
      </c>
      <c r="F35" s="727" t="str">
        <f>IF(Ventilation!R45="","",Ventilation!R45)</f>
        <v/>
      </c>
      <c r="H35" s="303"/>
      <c r="I35" s="303"/>
      <c r="J35" s="357"/>
      <c r="K35" s="358"/>
      <c r="L35" s="359"/>
    </row>
    <row r="37" spans="1:17" ht="20" x14ac:dyDescent="0.35">
      <c r="B37" s="481" t="s">
        <v>917</v>
      </c>
      <c r="D37" s="482"/>
      <c r="E37" s="482"/>
      <c r="F37" s="482"/>
      <c r="G37" s="482"/>
      <c r="H37" s="482"/>
      <c r="I37" s="482"/>
      <c r="J37" s="482"/>
      <c r="K37" s="482"/>
      <c r="L37" s="482"/>
      <c r="M37" s="482"/>
      <c r="N37" s="482"/>
      <c r="O37" s="482"/>
      <c r="P37" s="482"/>
      <c r="Q37" s="481"/>
    </row>
    <row r="38" spans="1:17" ht="27.65" customHeight="1" x14ac:dyDescent="0.35">
      <c r="B38" s="483" t="s">
        <v>910</v>
      </c>
      <c r="C38" s="1134" t="s">
        <v>9</v>
      </c>
      <c r="D38" s="1135"/>
      <c r="E38" s="483" t="s">
        <v>865</v>
      </c>
      <c r="F38" s="483" t="s">
        <v>912</v>
      </c>
      <c r="G38" s="484"/>
      <c r="H38" s="483" t="s">
        <v>915</v>
      </c>
      <c r="I38" s="483" t="s">
        <v>916</v>
      </c>
      <c r="J38" s="1134" t="s">
        <v>356</v>
      </c>
      <c r="K38" s="1136"/>
      <c r="L38" s="1135"/>
    </row>
    <row r="39" spans="1:17" ht="15.5" x14ac:dyDescent="0.35">
      <c r="A39" s="396">
        <v>1</v>
      </c>
      <c r="B39" s="304"/>
      <c r="C39" s="1137" t="str">
        <f>IF(Ventilation!B36="","",Ventilation!B36)</f>
        <v/>
      </c>
      <c r="D39" s="1138"/>
      <c r="E39" s="486" t="str">
        <f>IF(Ventilation!H36="","",Ventilation!H36)</f>
        <v/>
      </c>
      <c r="F39" s="727" t="str">
        <f>IF(Ventilation!G36="","",Ventilation!G36)</f>
        <v/>
      </c>
      <c r="G39" s="475"/>
      <c r="H39" s="303"/>
      <c r="I39" s="303"/>
      <c r="J39" s="1125"/>
      <c r="K39" s="1126"/>
      <c r="L39" s="1127"/>
    </row>
    <row r="40" spans="1:17" ht="15.5" x14ac:dyDescent="0.35">
      <c r="A40" s="396">
        <f>A39+1</f>
        <v>2</v>
      </c>
      <c r="B40" s="304"/>
      <c r="C40" s="1137" t="str">
        <f>IF(Ventilation!B37="","",Ventilation!B37)</f>
        <v/>
      </c>
      <c r="D40" s="1138"/>
      <c r="E40" s="486" t="str">
        <f>IF(Ventilation!H37="","",Ventilation!H37)</f>
        <v/>
      </c>
      <c r="F40" s="727" t="str">
        <f>IF(Ventilation!G37="","",Ventilation!G37)</f>
        <v/>
      </c>
      <c r="G40" s="475"/>
      <c r="H40" s="303"/>
      <c r="I40" s="303"/>
      <c r="J40" s="1125"/>
      <c r="K40" s="1126"/>
      <c r="L40" s="1127"/>
    </row>
    <row r="41" spans="1:17" ht="15.5" x14ac:dyDescent="0.35">
      <c r="A41" s="396">
        <f t="shared" ref="A41:A48" si="1">A40+1</f>
        <v>3</v>
      </c>
      <c r="B41" s="304"/>
      <c r="C41" s="1137" t="str">
        <f>IF(Ventilation!B38="","",Ventilation!B38)</f>
        <v/>
      </c>
      <c r="D41" s="1138"/>
      <c r="E41" s="486" t="str">
        <f>IF(Ventilation!H38="","",Ventilation!H38)</f>
        <v/>
      </c>
      <c r="F41" s="727" t="str">
        <f>IF(Ventilation!G38="","",Ventilation!G38)</f>
        <v/>
      </c>
      <c r="G41" s="475"/>
      <c r="H41" s="303"/>
      <c r="I41" s="303"/>
      <c r="J41" s="1125"/>
      <c r="K41" s="1126"/>
      <c r="L41" s="1127"/>
    </row>
    <row r="42" spans="1:17" ht="15.5" x14ac:dyDescent="0.35">
      <c r="A42" s="396">
        <f t="shared" si="1"/>
        <v>4</v>
      </c>
      <c r="B42" s="304"/>
      <c r="C42" s="1137" t="str">
        <f>IF(Ventilation!B39="","",Ventilation!B39)</f>
        <v/>
      </c>
      <c r="D42" s="1138"/>
      <c r="E42" s="486" t="str">
        <f>IF(Ventilation!H39="","",Ventilation!H39)</f>
        <v/>
      </c>
      <c r="F42" s="727" t="str">
        <f>IF(Ventilation!G39="","",Ventilation!G39)</f>
        <v/>
      </c>
      <c r="G42" s="475"/>
      <c r="H42" s="303"/>
      <c r="I42" s="303"/>
      <c r="J42" s="1125"/>
      <c r="K42" s="1126"/>
      <c r="L42" s="1127"/>
    </row>
    <row r="43" spans="1:17" ht="15.5" x14ac:dyDescent="0.35">
      <c r="A43" s="396">
        <f t="shared" si="1"/>
        <v>5</v>
      </c>
      <c r="B43" s="304"/>
      <c r="C43" s="1137" t="str">
        <f>IF(Ventilation!B40="","",Ventilation!B40)</f>
        <v/>
      </c>
      <c r="D43" s="1138"/>
      <c r="E43" s="486" t="str">
        <f>IF(Ventilation!H40="","",Ventilation!H40)</f>
        <v/>
      </c>
      <c r="F43" s="727" t="str">
        <f>IF(Ventilation!G40="","",Ventilation!G40)</f>
        <v/>
      </c>
      <c r="G43" s="475"/>
      <c r="H43" s="303"/>
      <c r="I43" s="303"/>
      <c r="J43" s="1125"/>
      <c r="K43" s="1126"/>
      <c r="L43" s="1127"/>
    </row>
    <row r="44" spans="1:17" ht="15.5" x14ac:dyDescent="0.35">
      <c r="A44" s="396">
        <f t="shared" si="1"/>
        <v>6</v>
      </c>
      <c r="B44" s="304"/>
      <c r="C44" s="1137" t="str">
        <f>IF(Ventilation!B41="","",Ventilation!B41)</f>
        <v/>
      </c>
      <c r="D44" s="1138"/>
      <c r="E44" s="486" t="str">
        <f>IF(Ventilation!H41="","",Ventilation!H41)</f>
        <v/>
      </c>
      <c r="F44" s="727" t="str">
        <f>IF(Ventilation!G41="","",Ventilation!G41)</f>
        <v/>
      </c>
      <c r="G44" s="475"/>
      <c r="H44" s="303"/>
      <c r="I44" s="303"/>
      <c r="J44" s="1125"/>
      <c r="K44" s="1126"/>
      <c r="L44" s="1127"/>
    </row>
    <row r="45" spans="1:17" ht="15.5" x14ac:dyDescent="0.35">
      <c r="A45" s="396">
        <f t="shared" si="1"/>
        <v>7</v>
      </c>
      <c r="B45" s="304"/>
      <c r="C45" s="1137" t="str">
        <f>IF(Ventilation!B42="","",Ventilation!B42)</f>
        <v/>
      </c>
      <c r="D45" s="1138"/>
      <c r="E45" s="486" t="str">
        <f>IF(Ventilation!H42="","",Ventilation!H42)</f>
        <v/>
      </c>
      <c r="F45" s="727" t="str">
        <f>IF(Ventilation!G42="","",Ventilation!G42)</f>
        <v/>
      </c>
      <c r="G45" s="475"/>
      <c r="H45" s="303"/>
      <c r="I45" s="303"/>
      <c r="J45" s="354"/>
      <c r="K45" s="355"/>
      <c r="L45" s="356"/>
    </row>
    <row r="46" spans="1:17" ht="15.5" x14ac:dyDescent="0.35">
      <c r="A46" s="396">
        <f t="shared" si="1"/>
        <v>8</v>
      </c>
      <c r="B46" s="304"/>
      <c r="C46" s="1137" t="str">
        <f>IF(Ventilation!B43="","",Ventilation!B43)</f>
        <v/>
      </c>
      <c r="D46" s="1138"/>
      <c r="E46" s="486" t="str">
        <f>IF(Ventilation!H43="","",Ventilation!H43)</f>
        <v/>
      </c>
      <c r="F46" s="727" t="str">
        <f>IF(Ventilation!G43="","",Ventilation!G43)</f>
        <v/>
      </c>
      <c r="G46" s="475"/>
      <c r="H46" s="303"/>
      <c r="I46" s="303"/>
      <c r="J46" s="354"/>
      <c r="K46" s="355"/>
      <c r="L46" s="356"/>
    </row>
    <row r="47" spans="1:17" ht="15.5" x14ac:dyDescent="0.35">
      <c r="A47" s="396">
        <f t="shared" si="1"/>
        <v>9</v>
      </c>
      <c r="B47" s="304"/>
      <c r="C47" s="1137" t="str">
        <f>IF(Ventilation!B44="","",Ventilation!B44)</f>
        <v/>
      </c>
      <c r="D47" s="1138"/>
      <c r="E47" s="486" t="str">
        <f>IF(Ventilation!H44="","",Ventilation!H44)</f>
        <v/>
      </c>
      <c r="F47" s="727" t="str">
        <f>IF(Ventilation!G44="","",Ventilation!G44)</f>
        <v/>
      </c>
      <c r="G47" s="475"/>
      <c r="H47" s="303"/>
      <c r="I47" s="303"/>
      <c r="J47" s="354"/>
      <c r="K47" s="355"/>
      <c r="L47" s="356"/>
    </row>
    <row r="48" spans="1:17" ht="15.5" x14ac:dyDescent="0.35">
      <c r="A48" s="396">
        <f t="shared" si="1"/>
        <v>10</v>
      </c>
      <c r="B48" s="304"/>
      <c r="C48" s="1137" t="str">
        <f>IF(Ventilation!B45="","",Ventilation!B45)</f>
        <v/>
      </c>
      <c r="D48" s="1138"/>
      <c r="E48" s="486" t="str">
        <f>IF(Ventilation!H45="","",Ventilation!H45)</f>
        <v/>
      </c>
      <c r="F48" s="727" t="str">
        <f>IF(Ventilation!G45="","",Ventilation!G45)</f>
        <v/>
      </c>
      <c r="G48" s="475"/>
      <c r="H48" s="303"/>
      <c r="I48" s="303"/>
      <c r="J48" s="354"/>
      <c r="K48" s="355"/>
      <c r="L48" s="356"/>
    </row>
  </sheetData>
  <sheetProtection algorithmName="SHA-512" hashValue="ZBFgqJ8AO9qfJkztqiMHJ6K4PDz2spm9h0u1CaDaCYAzb4DS9PBiNbQkT5zonA4E4fesbohHW6gyIR/BQ9FLgA==" saltValue="113m5lsDb+F4aFMefSakHw==" spinCount="100000" sheet="1" objects="1" scenarios="1"/>
  <mergeCells count="42">
    <mergeCell ref="J13:K13"/>
    <mergeCell ref="N13:O13"/>
    <mergeCell ref="H7:P7"/>
    <mergeCell ref="J9:K9"/>
    <mergeCell ref="N9:O9"/>
    <mergeCell ref="J11:K11"/>
    <mergeCell ref="N11:O11"/>
    <mergeCell ref="C31:D31"/>
    <mergeCell ref="O23:P23"/>
    <mergeCell ref="C25:D25"/>
    <mergeCell ref="J25:L25"/>
    <mergeCell ref="C26:D26"/>
    <mergeCell ref="J26:L26"/>
    <mergeCell ref="C27:D27"/>
    <mergeCell ref="J27:L27"/>
    <mergeCell ref="C28:D28"/>
    <mergeCell ref="J28:L28"/>
    <mergeCell ref="C29:D29"/>
    <mergeCell ref="J29:L29"/>
    <mergeCell ref="C30:D30"/>
    <mergeCell ref="C32:D32"/>
    <mergeCell ref="C33:D33"/>
    <mergeCell ref="C34:D34"/>
    <mergeCell ref="C35:D35"/>
    <mergeCell ref="C38:D38"/>
    <mergeCell ref="J38:L38"/>
    <mergeCell ref="C39:D39"/>
    <mergeCell ref="J39:L39"/>
    <mergeCell ref="C40:D40"/>
    <mergeCell ref="J40:L40"/>
    <mergeCell ref="J43:L43"/>
    <mergeCell ref="C44:D44"/>
    <mergeCell ref="J44:L44"/>
    <mergeCell ref="C41:D41"/>
    <mergeCell ref="J41:L41"/>
    <mergeCell ref="C42:D42"/>
    <mergeCell ref="J42:L42"/>
    <mergeCell ref="C48:D48"/>
    <mergeCell ref="C45:D45"/>
    <mergeCell ref="C46:D46"/>
    <mergeCell ref="C47:D47"/>
    <mergeCell ref="C43:D43"/>
  </mergeCell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7" r:id="rId4" name="Check Box 7">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6088" r:id="rId5" name="Check Box 8">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6089" r:id="rId6" name="Check Box 9">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6090" r:id="rId7" name="Check Box 10">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6091" r:id="rId8" name="Check Box 11">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6092" r:id="rId9" name="Check Box 12">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7030A0"/>
  </sheetPr>
  <dimension ref="B2:N100"/>
  <sheetViews>
    <sheetView showGridLines="0" zoomScaleNormal="100" workbookViewId="0">
      <pane ySplit="5" topLeftCell="A6" activePane="bottomLeft" state="frozen"/>
      <selection pane="bottomLeft"/>
    </sheetView>
  </sheetViews>
  <sheetFormatPr defaultColWidth="9.1796875" defaultRowHeight="14" x14ac:dyDescent="0.3"/>
  <cols>
    <col min="1" max="1" width="3.54296875" style="2" customWidth="1"/>
    <col min="2" max="2" width="24.453125" style="2" customWidth="1"/>
    <col min="3" max="6" width="18.54296875" style="2" customWidth="1"/>
    <col min="7" max="7" width="2.54296875" style="2" customWidth="1"/>
    <col min="8" max="10" width="12.54296875" style="2" customWidth="1"/>
    <col min="11" max="11" width="15" style="2" customWidth="1"/>
    <col min="12" max="16384" width="9.1796875" style="2"/>
  </cols>
  <sheetData>
    <row r="2" spans="2:11" x14ac:dyDescent="0.3">
      <c r="B2" s="259" t="s">
        <v>0</v>
      </c>
      <c r="C2" s="319" t="str">
        <f>IF('HVAC Worksheet'!C7="","",'HVAC Worksheet'!C7)</f>
        <v/>
      </c>
      <c r="D2" s="319"/>
    </row>
    <row r="3" spans="2:11" x14ac:dyDescent="0.3">
      <c r="B3" s="259" t="s">
        <v>1196</v>
      </c>
      <c r="C3" s="320" t="str">
        <f>IF('HVAC Worksheet'!C12:E12="","",'HVAC Worksheet'!C12:E12)</f>
        <v/>
      </c>
      <c r="D3" s="320"/>
    </row>
    <row r="5" spans="2:11" ht="28" x14ac:dyDescent="0.3">
      <c r="B5" s="823" t="s">
        <v>532</v>
      </c>
      <c r="C5" s="824" t="s">
        <v>28</v>
      </c>
      <c r="D5" s="824" t="s">
        <v>529</v>
      </c>
      <c r="E5" s="824" t="s">
        <v>530</v>
      </c>
      <c r="F5" s="824" t="s">
        <v>1653</v>
      </c>
      <c r="G5" s="487"/>
      <c r="H5" s="824" t="s">
        <v>531</v>
      </c>
      <c r="I5" s="824" t="s">
        <v>1618</v>
      </c>
      <c r="J5" s="824" t="s">
        <v>1654</v>
      </c>
      <c r="K5" s="823" t="s">
        <v>29</v>
      </c>
    </row>
    <row r="6" spans="2:11" x14ac:dyDescent="0.3">
      <c r="B6" s="488" t="s">
        <v>482</v>
      </c>
      <c r="C6" s="489" t="str">
        <f>IF(SUMIF(Calculations!$BR$7:$BR$31,$B6,Calculations!$J$7:$J$31)=0,"",SUMIF(Calculations!$BR$7:$BR$31,$B6,Calculations!$J$7:$J$31))</f>
        <v/>
      </c>
      <c r="D6" s="490" t="str">
        <f>IF(H6="","",H6/C6)</f>
        <v/>
      </c>
      <c r="E6" s="491" t="str">
        <f>IF(I6="","",I6/C6)</f>
        <v/>
      </c>
      <c r="F6" s="491" t="str">
        <f>IF(J6="","",J6/D6)</f>
        <v/>
      </c>
      <c r="G6" s="492"/>
      <c r="H6" s="490" t="str">
        <f>IF(C6="","",IF(ISERROR(SUMIF(Calculations!$BR$7:$BR$31,$B6,Calculations!$AR$7:$AR$31)),"",SUMIF(Calculations!$BR$7:$BR$31,$B6,Calculations!$AR$7:$AR$31)))</f>
        <v/>
      </c>
      <c r="I6" s="491" t="str">
        <f>IF(C6="","",IF(ISERROR(SUMIF(Calculations!$BR$7:$BR$31,$B6,Calculations!$BK$7:$BK$31)),"",SUMIF(Calculations!$BR$7:$BR$31,$B6,Calculations!$BK$7:$BK$31)))</f>
        <v/>
      </c>
      <c r="J6" s="491" t="str">
        <f>IF(C6="","",IF(ISERROR(SUMIF(Calculations!$BR$7:$BR$31,$B6,Calculations!$BI$7:$BI$31)),"",SUMIF(Calculations!$BR$7:$BR$31,$B6,Calculations!$BI$7:$BI$31)))</f>
        <v/>
      </c>
      <c r="K6" s="493" t="str">
        <f>IF($C6="","",IF(SUMIF(Calculations!$BR$7:$BR$31,$B6,Calculations!$BM$7:$BM$31)=0,"",SUMIF(Calculations!$BR$7:$BR$31,$B6,Calculations!$BM$7:$BM$31)))</f>
        <v/>
      </c>
    </row>
    <row r="7" spans="2:11" x14ac:dyDescent="0.3">
      <c r="B7" s="488" t="s">
        <v>483</v>
      </c>
      <c r="C7" s="489" t="str">
        <f>IF(SUMIF(Calculations!$BR$7:$BR$31,$B7,Calculations!$J$7:$J$31)=0,"",SUMIF(Calculations!$BR$7:$BR$31,$B7,Calculations!$J$7:$J$31))</f>
        <v/>
      </c>
      <c r="D7" s="490" t="str">
        <f t="shared" ref="D7:D63" si="0">IF(H7="","",H7/C7)</f>
        <v/>
      </c>
      <c r="E7" s="491" t="str">
        <f t="shared" ref="E7:F63" si="1">IF(I7="","",I7/C7)</f>
        <v/>
      </c>
      <c r="F7" s="491" t="str">
        <f t="shared" si="1"/>
        <v/>
      </c>
      <c r="G7" s="492"/>
      <c r="H7" s="490" t="str">
        <f>IF(C7="","",IF(ISERROR(SUMIF(Calculations!$BR$7:$BR$31,$B7,Calculations!$AR$7:$AR$31)),"",SUMIF(Calculations!$BR$7:$BR$31,$B7,Calculations!$AR$7:$AR$31)))</f>
        <v/>
      </c>
      <c r="I7" s="491" t="str">
        <f>IF(C7="","",IF(ISERROR(SUMIF(Calculations!$BR$7:$BR$31,$B7,Calculations!$BK$7:$BK$31)),"",SUMIF(Calculations!$BR$7:$BR$31,$B7,Calculations!$BK$7:$BK$31)))</f>
        <v/>
      </c>
      <c r="J7" s="491" t="str">
        <f>IF(C7="","",IF(ISERROR(SUMIF(Calculations!$BR$7:$BR$31,$B7,Calculations!$BI$7:$BI$31)),"",SUMIF(Calculations!$BR$7:$BR$31,$B7,Calculations!$BI$7:$BI$31)))</f>
        <v/>
      </c>
      <c r="K7" s="493" t="str">
        <f>IF($C7="","",IF(SUMIF(Calculations!$BR$7:$BR$31,$B7,Calculations!$BM$7:$BM$31)=0,"",SUMIF(Calculations!$BR$7:$BR$31,$B7,Calculations!$BM$7:$BM$31)))</f>
        <v/>
      </c>
    </row>
    <row r="8" spans="2:11" x14ac:dyDescent="0.3">
      <c r="B8" s="488" t="s">
        <v>329</v>
      </c>
      <c r="C8" s="489" t="str">
        <f>IF(SUMIF(Calculations!$BR$7:$BR$31,$B8,Calculations!$J$7:$J$31)=0,"",SUMIF(Calculations!$BR$7:$BR$31,$B8,Calculations!$J$7:$J$31))</f>
        <v/>
      </c>
      <c r="D8" s="490" t="str">
        <f t="shared" si="0"/>
        <v/>
      </c>
      <c r="E8" s="491" t="str">
        <f t="shared" si="1"/>
        <v/>
      </c>
      <c r="F8" s="491" t="str">
        <f t="shared" si="1"/>
        <v/>
      </c>
      <c r="G8" s="492"/>
      <c r="H8" s="490" t="str">
        <f>IF(C8="","",IF(ISERROR(SUMIF(Calculations!$BR$7:$BR$31,$B8,Calculations!$AR$7:$AR$31)),"",SUMIF(Calculations!$BR$7:$BR$31,$B8,Calculations!$AR$7:$AR$31)))</f>
        <v/>
      </c>
      <c r="I8" s="491" t="str">
        <f>IF(C8="","",IF(ISERROR(SUMIF(Calculations!$BR$7:$BR$31,$B8,Calculations!$BK$7:$BK$31)),"",SUMIF(Calculations!$BR$7:$BR$31,$B8,Calculations!$BK$7:$BK$31)))</f>
        <v/>
      </c>
      <c r="J8" s="491" t="str">
        <f>IF(C8="","",IF(ISERROR(SUMIF(Calculations!$BR$7:$BR$31,$B8,Calculations!$BI$7:$BI$31)),"",SUMIF(Calculations!$BR$7:$BR$31,$B8,Calculations!$BI$7:$BI$31)))</f>
        <v/>
      </c>
      <c r="K8" s="493" t="str">
        <f>IF($C8="","",IF(SUMIF(Calculations!$BR$7:$BR$31,$B8,Calculations!$BM$7:$BM$31)=0,"",SUMIF(Calculations!$BR$7:$BR$31,$B8,Calculations!$BM$7:$BM$31)))</f>
        <v/>
      </c>
    </row>
    <row r="9" spans="2:11" x14ac:dyDescent="0.3">
      <c r="B9" s="488" t="s">
        <v>330</v>
      </c>
      <c r="C9" s="489" t="str">
        <f>IF(SUMIF(Calculations!$BR$7:$BR$31,$B9,Calculations!$J$7:$J$31)=0,"",SUMIF(Calculations!$BR$7:$BR$31,$B9,Calculations!$J$7:$J$31))</f>
        <v/>
      </c>
      <c r="D9" s="490" t="str">
        <f t="shared" si="0"/>
        <v/>
      </c>
      <c r="E9" s="491" t="str">
        <f t="shared" si="1"/>
        <v/>
      </c>
      <c r="F9" s="491" t="str">
        <f t="shared" si="1"/>
        <v/>
      </c>
      <c r="G9" s="492"/>
      <c r="H9" s="490" t="str">
        <f>IF(C9="","",IF(ISERROR(SUMIF(Calculations!$BR$7:$BR$31,$B9,Calculations!$AR$7:$AR$31)),"",SUMIF(Calculations!$BR$7:$BR$31,$B9,Calculations!$AR$7:$AR$31)))</f>
        <v/>
      </c>
      <c r="I9" s="491" t="str">
        <f>IF(C9="","",IF(ISERROR(SUMIF(Calculations!$BR$7:$BR$31,$B9,Calculations!$BK$7:$BK$31)),"",SUMIF(Calculations!$BR$7:$BR$31,$B9,Calculations!$BK$7:$BK$31)))</f>
        <v/>
      </c>
      <c r="J9" s="491" t="str">
        <f>IF(C9="","",IF(ISERROR(SUMIF(Calculations!$BR$7:$BR$31,$B9,Calculations!$BI$7:$BI$31)),"",SUMIF(Calculations!$BR$7:$BR$31,$B9,Calculations!$BI$7:$BI$31)))</f>
        <v/>
      </c>
      <c r="K9" s="493" t="str">
        <f>IF($C9="","",IF(SUMIF(Calculations!$BR$7:$BR$31,$B9,Calculations!$BM$7:$BM$31)=0,"",SUMIF(Calculations!$BR$7:$BR$31,$B9,Calculations!$BM$7:$BM$31)))</f>
        <v/>
      </c>
    </row>
    <row r="10" spans="2:11" x14ac:dyDescent="0.3">
      <c r="B10" s="488" t="s">
        <v>484</v>
      </c>
      <c r="C10" s="489" t="str">
        <f>IF(SUMIF(Calculations!$BR$7:$BR$31,$B10,Calculations!$J$7:$J$31)=0,"",SUMIF(Calculations!$BR$7:$BR$31,$B10,Calculations!$J$7:$J$31))</f>
        <v/>
      </c>
      <c r="D10" s="490" t="str">
        <f t="shared" si="0"/>
        <v/>
      </c>
      <c r="E10" s="491" t="str">
        <f t="shared" si="1"/>
        <v/>
      </c>
      <c r="F10" s="491" t="str">
        <f t="shared" si="1"/>
        <v/>
      </c>
      <c r="G10" s="492"/>
      <c r="H10" s="490" t="str">
        <f>IF(C10="","",IF(ISERROR(SUMIF(Calculations!$BR$7:$BR$31,$B10,Calculations!$AR$7:$AR$31)),"",SUMIF(Calculations!$BR$7:$BR$31,$B10,Calculations!$AR$7:$AR$31)))</f>
        <v/>
      </c>
      <c r="I10" s="491" t="str">
        <f>IF(C10="","",IF(ISERROR(SUMIF(Calculations!$BR$7:$BR$31,$B10,Calculations!$BK$7:$BK$31)),"",SUMIF(Calculations!$BR$7:$BR$31,$B10,Calculations!$BK$7:$BK$31)))</f>
        <v/>
      </c>
      <c r="J10" s="491" t="str">
        <f>IF(C10="","",IF(ISERROR(SUMIF(Calculations!$BR$7:$BR$31,$B10,Calculations!$BI$7:$BI$31)),"",SUMIF(Calculations!$BR$7:$BR$31,$B10,Calculations!$BI$7:$BI$31)))</f>
        <v/>
      </c>
      <c r="K10" s="493" t="str">
        <f>IF($C10="","",IF(SUMIF(Calculations!$BR$7:$BR$31,$B10,Calculations!$BM$7:$BM$31)=0,"",SUMIF(Calculations!$BR$7:$BR$31,$B10,Calculations!$BM$7:$BM$31)))</f>
        <v/>
      </c>
    </row>
    <row r="11" spans="2:11" x14ac:dyDescent="0.3">
      <c r="B11" s="488" t="s">
        <v>494</v>
      </c>
      <c r="C11" s="489" t="str">
        <f>IF(SUMIF(Calculations!$BR$7:$BR$31,$B11,Calculations!$J$7:$J$31)=0,"",SUMIF(Calculations!$BR$7:$BR$31,$B11,Calculations!$J$7:$J$31))</f>
        <v/>
      </c>
      <c r="D11" s="490" t="str">
        <f t="shared" si="0"/>
        <v/>
      </c>
      <c r="E11" s="491" t="str">
        <f t="shared" si="1"/>
        <v/>
      </c>
      <c r="F11" s="491" t="str">
        <f t="shared" si="1"/>
        <v/>
      </c>
      <c r="G11" s="492"/>
      <c r="H11" s="490" t="str">
        <f>IF(C11="","",IF(ISERROR(SUMIF(Calculations!$BR$7:$BR$31,$B11,Calculations!$AR$7:$AR$31)),"",SUMIF(Calculations!$BR$7:$BR$31,$B11,Calculations!$AR$7:$AR$31)))</f>
        <v/>
      </c>
      <c r="I11" s="491" t="str">
        <f>IF(C11="","",IF(ISERROR(SUMIF(Calculations!$BR$7:$BR$31,$B11,Calculations!$BK$7:$BK$31)),"",SUMIF(Calculations!$BR$7:$BR$31,$B11,Calculations!$BK$7:$BK$31)))</f>
        <v/>
      </c>
      <c r="J11" s="491" t="str">
        <f>IF(C11="","",IF(ISERROR(SUMIF(Calculations!$BR$7:$BR$31,$B11,Calculations!$BI$7:$BI$31)),"",SUMIF(Calculations!$BR$7:$BR$31,$B11,Calculations!$BI$7:$BI$31)))</f>
        <v/>
      </c>
      <c r="K11" s="493" t="str">
        <f>IF($C11="","",IF(SUMIF(Calculations!$BR$7:$BR$31,$B11,Calculations!$BM$7:$BM$31)=0,"",SUMIF(Calculations!$BR$7:$BR$31,$B11,Calculations!$BM$7:$BM$31)))</f>
        <v/>
      </c>
    </row>
    <row r="12" spans="2:11" x14ac:dyDescent="0.3">
      <c r="B12" s="488" t="s">
        <v>506</v>
      </c>
      <c r="C12" s="489" t="str">
        <f>IF(SUMIF(Calculations!$BR$7:$BR$31,$B12,Calculations!$J$7:$J$31)=0,"",SUMIF(Calculations!$BR$7:$BR$31,$B12,Calculations!$J$7:$J$31))</f>
        <v/>
      </c>
      <c r="D12" s="490" t="str">
        <f t="shared" si="0"/>
        <v/>
      </c>
      <c r="E12" s="491" t="str">
        <f t="shared" si="1"/>
        <v/>
      </c>
      <c r="F12" s="491" t="str">
        <f t="shared" si="1"/>
        <v/>
      </c>
      <c r="G12" s="492"/>
      <c r="H12" s="490" t="str">
        <f>IF(C12="","",IF(ISERROR(SUMIF(Calculations!$BR$7:$BR$31,$B12,Calculations!$AR$7:$AR$31)),"",SUMIF(Calculations!$BR$7:$BR$31,$B12,Calculations!$AR$7:$AR$31)))</f>
        <v/>
      </c>
      <c r="I12" s="491" t="str">
        <f>IF(C12="","",IF(ISERROR(SUMIF(Calculations!$BR$7:$BR$31,$B12,Calculations!$BK$7:$BK$31)),"",SUMIF(Calculations!$BR$7:$BR$31,$B12,Calculations!$BK$7:$BK$31)))</f>
        <v/>
      </c>
      <c r="J12" s="491" t="str">
        <f>IF(C12="","",IF(ISERROR(SUMIF(Calculations!$BR$7:$BR$31,$B12,Calculations!$BI$7:$BI$31)),"",SUMIF(Calculations!$BR$7:$BR$31,$B12,Calculations!$BI$7:$BI$31)))</f>
        <v/>
      </c>
      <c r="K12" s="493" t="str">
        <f>IF($C12="","",IF(SUMIF(Calculations!$BR$7:$BR$31,$B12,Calculations!$BM$7:$BM$31)=0,"",SUMIF(Calculations!$BR$7:$BR$31,$B12,Calculations!$BM$7:$BM$31)))</f>
        <v/>
      </c>
    </row>
    <row r="13" spans="2:11" x14ac:dyDescent="0.3">
      <c r="B13" s="488" t="s">
        <v>485</v>
      </c>
      <c r="C13" s="489" t="str">
        <f>IF(SUMIF(Calculations!$BR$7:$BR$31,$B13,Calculations!$J$7:$J$31)=0,"",SUMIF(Calculations!$BR$7:$BR$31,$B13,Calculations!$J$7:$J$31))</f>
        <v/>
      </c>
      <c r="D13" s="490" t="str">
        <f t="shared" si="0"/>
        <v/>
      </c>
      <c r="E13" s="491" t="str">
        <f t="shared" si="1"/>
        <v/>
      </c>
      <c r="F13" s="491" t="str">
        <f t="shared" si="1"/>
        <v/>
      </c>
      <c r="G13" s="492"/>
      <c r="H13" s="490" t="str">
        <f>IF(C13="","",IF(ISERROR(SUMIF(Calculations!$BR$7:$BR$31,$B13,Calculations!$AR$7:$AR$31)),"",SUMIF(Calculations!$BR$7:$BR$31,$B13,Calculations!$AR$7:$AR$31)))</f>
        <v/>
      </c>
      <c r="I13" s="491" t="str">
        <f>IF(C13="","",IF(ISERROR(SUMIF(Calculations!$BR$7:$BR$31,$B13,Calculations!$BK$7:$BK$31)),"",SUMIF(Calculations!$BR$7:$BR$31,$B13,Calculations!$BK$7:$BK$31)))</f>
        <v/>
      </c>
      <c r="J13" s="491" t="str">
        <f>IF(C13="","",IF(ISERROR(SUMIF(Calculations!$BR$7:$BR$31,$B13,Calculations!$BI$7:$BI$31)),"",SUMIF(Calculations!$BR$7:$BR$31,$B13,Calculations!$BI$7:$BI$31)))</f>
        <v/>
      </c>
      <c r="K13" s="493" t="str">
        <f>IF($C13="","",IF(SUMIF(Calculations!$BR$7:$BR$31,$B13,Calculations!$BM$7:$BM$31)=0,"",SUMIF(Calculations!$BR$7:$BR$31,$B13,Calculations!$BM$7:$BM$31)))</f>
        <v/>
      </c>
    </row>
    <row r="14" spans="2:11" x14ac:dyDescent="0.3">
      <c r="B14" s="488" t="s">
        <v>495</v>
      </c>
      <c r="C14" s="489" t="str">
        <f>IF(SUMIF(Calculations!$BR$7:$BR$31,$B14,Calculations!$J$7:$J$31)=0,"",SUMIF(Calculations!$BR$7:$BR$31,$B14,Calculations!$J$7:$J$31))</f>
        <v/>
      </c>
      <c r="D14" s="490" t="str">
        <f t="shared" si="0"/>
        <v/>
      </c>
      <c r="E14" s="491" t="str">
        <f t="shared" si="1"/>
        <v/>
      </c>
      <c r="F14" s="491" t="str">
        <f t="shared" si="1"/>
        <v/>
      </c>
      <c r="G14" s="492"/>
      <c r="H14" s="490" t="str">
        <f>IF(C14="","",IF(ISERROR(SUMIF(Calculations!$BR$7:$BR$31,$B14,Calculations!$AR$7:$AR$31)),"",SUMIF(Calculations!$BR$7:$BR$31,$B14,Calculations!$AR$7:$AR$31)))</f>
        <v/>
      </c>
      <c r="I14" s="491" t="str">
        <f>IF(C14="","",IF(ISERROR(SUMIF(Calculations!$BR$7:$BR$31,$B14,Calculations!$BK$7:$BK$31)),"",SUMIF(Calculations!$BR$7:$BR$31,$B14,Calculations!$BK$7:$BK$31)))</f>
        <v/>
      </c>
      <c r="J14" s="491" t="str">
        <f>IF(C14="","",IF(ISERROR(SUMIF(Calculations!$BR$7:$BR$31,$B14,Calculations!$BI$7:$BI$31)),"",SUMIF(Calculations!$BR$7:$BR$31,$B14,Calculations!$BI$7:$BI$31)))</f>
        <v/>
      </c>
      <c r="K14" s="493" t="str">
        <f>IF($C14="","",IF(SUMIF(Calculations!$BR$7:$BR$31,$B14,Calculations!$BM$7:$BM$31)=0,"",SUMIF(Calculations!$BR$7:$BR$31,$B14,Calculations!$BM$7:$BM$31)))</f>
        <v/>
      </c>
    </row>
    <row r="15" spans="2:11" x14ac:dyDescent="0.3">
      <c r="B15" s="488" t="s">
        <v>507</v>
      </c>
      <c r="C15" s="489" t="str">
        <f>IF(SUMIF(Calculations!$BR$7:$BR$31,$B15,Calculations!$J$7:$J$31)=0,"",SUMIF(Calculations!$BR$7:$BR$31,$B15,Calculations!$J$7:$J$31))</f>
        <v/>
      </c>
      <c r="D15" s="490" t="str">
        <f t="shared" si="0"/>
        <v/>
      </c>
      <c r="E15" s="491" t="str">
        <f t="shared" si="1"/>
        <v/>
      </c>
      <c r="F15" s="491" t="str">
        <f t="shared" si="1"/>
        <v/>
      </c>
      <c r="G15" s="492"/>
      <c r="H15" s="490" t="str">
        <f>IF(C15="","",IF(ISERROR(SUMIF(Calculations!$BR$7:$BR$31,$B15,Calculations!$AR$7:$AR$31)),"",SUMIF(Calculations!$BR$7:$BR$31,$B15,Calculations!$AR$7:$AR$31)))</f>
        <v/>
      </c>
      <c r="I15" s="491" t="str">
        <f>IF(C15="","",IF(ISERROR(SUMIF(Calculations!$BR$7:$BR$31,$B15,Calculations!$BK$7:$BK$31)),"",SUMIF(Calculations!$BR$7:$BR$31,$B15,Calculations!$BK$7:$BK$31)))</f>
        <v/>
      </c>
      <c r="J15" s="491" t="str">
        <f>IF(C15="","",IF(ISERROR(SUMIF(Calculations!$BR$7:$BR$31,$B15,Calculations!$BI$7:$BI$31)),"",SUMIF(Calculations!$BR$7:$BR$31,$B15,Calculations!$BI$7:$BI$31)))</f>
        <v/>
      </c>
      <c r="K15" s="493" t="str">
        <f>IF($C15="","",IF(SUMIF(Calculations!$BR$7:$BR$31,$B15,Calculations!$BM$7:$BM$31)=0,"",SUMIF(Calculations!$BR$7:$BR$31,$B15,Calculations!$BM$7:$BM$31)))</f>
        <v/>
      </c>
    </row>
    <row r="16" spans="2:11" x14ac:dyDescent="0.3">
      <c r="B16" s="488" t="s">
        <v>486</v>
      </c>
      <c r="C16" s="489" t="str">
        <f>IF(SUMIF(Calculations!$BR$7:$BR$31,$B16,Calculations!$J$7:$J$31)=0,"",SUMIF(Calculations!$BR$7:$BR$31,$B16,Calculations!$J$7:$J$31))</f>
        <v/>
      </c>
      <c r="D16" s="490" t="str">
        <f t="shared" si="0"/>
        <v/>
      </c>
      <c r="E16" s="491" t="str">
        <f t="shared" si="1"/>
        <v/>
      </c>
      <c r="F16" s="491" t="str">
        <f t="shared" si="1"/>
        <v/>
      </c>
      <c r="G16" s="492"/>
      <c r="H16" s="490" t="str">
        <f>IF(C16="","",IF(ISERROR(SUMIF(Calculations!$BR$7:$BR$31,$B16,Calculations!$AR$7:$AR$31)),"",SUMIF(Calculations!$BR$7:$BR$31,$B16,Calculations!$AR$7:$AR$31)))</f>
        <v/>
      </c>
      <c r="I16" s="491" t="str">
        <f>IF(C16="","",IF(ISERROR(SUMIF(Calculations!$BR$7:$BR$31,$B16,Calculations!$BK$7:$BK$31)),"",SUMIF(Calculations!$BR$7:$BR$31,$B16,Calculations!$BK$7:$BK$31)))</f>
        <v/>
      </c>
      <c r="J16" s="491" t="str">
        <f>IF(C16="","",IF(ISERROR(SUMIF(Calculations!$BR$7:$BR$31,$B16,Calculations!$BI$7:$BI$31)),"",SUMIF(Calculations!$BR$7:$BR$31,$B16,Calculations!$BI$7:$BI$31)))</f>
        <v/>
      </c>
      <c r="K16" s="493" t="str">
        <f>IF($C16="","",IF(SUMIF(Calculations!$BR$7:$BR$31,$B16,Calculations!$BM$7:$BM$31)=0,"",SUMIF(Calculations!$BR$7:$BR$31,$B16,Calculations!$BM$7:$BM$31)))</f>
        <v/>
      </c>
    </row>
    <row r="17" spans="2:11" x14ac:dyDescent="0.3">
      <c r="B17" s="488" t="s">
        <v>496</v>
      </c>
      <c r="C17" s="489" t="str">
        <f>IF(SUMIF(Calculations!$BR$7:$BR$31,$B17,Calculations!$J$7:$J$31)=0,"",SUMIF(Calculations!$BR$7:$BR$31,$B17,Calculations!$J$7:$J$31))</f>
        <v/>
      </c>
      <c r="D17" s="490" t="str">
        <f t="shared" si="0"/>
        <v/>
      </c>
      <c r="E17" s="491" t="str">
        <f t="shared" si="1"/>
        <v/>
      </c>
      <c r="F17" s="491" t="str">
        <f t="shared" si="1"/>
        <v/>
      </c>
      <c r="G17" s="492"/>
      <c r="H17" s="490" t="str">
        <f>IF(C17="","",IF(ISERROR(SUMIF(Calculations!$BR$7:$BR$31,$B17,Calculations!$AR$7:$AR$31)),"",SUMIF(Calculations!$BR$7:$BR$31,$B17,Calculations!$AR$7:$AR$31)))</f>
        <v/>
      </c>
      <c r="I17" s="491" t="str">
        <f>IF(C17="","",IF(ISERROR(SUMIF(Calculations!$BR$7:$BR$31,$B17,Calculations!$BK$7:$BK$31)),"",SUMIF(Calculations!$BR$7:$BR$31,$B17,Calculations!$BK$7:$BK$31)))</f>
        <v/>
      </c>
      <c r="J17" s="491" t="str">
        <f>IF(C17="","",IF(ISERROR(SUMIF(Calculations!$BR$7:$BR$31,$B17,Calculations!$BI$7:$BI$31)),"",SUMIF(Calculations!$BR$7:$BR$31,$B17,Calculations!$BI$7:$BI$31)))</f>
        <v/>
      </c>
      <c r="K17" s="493" t="str">
        <f>IF($C17="","",IF(SUMIF(Calculations!$BR$7:$BR$31,$B17,Calculations!$BM$7:$BM$31)=0,"",SUMIF(Calculations!$BR$7:$BR$31,$B17,Calculations!$BM$7:$BM$31)))</f>
        <v/>
      </c>
    </row>
    <row r="18" spans="2:11" x14ac:dyDescent="0.3">
      <c r="B18" s="488" t="s">
        <v>508</v>
      </c>
      <c r="C18" s="489" t="str">
        <f>IF(SUMIF(Calculations!$BR$7:$BR$31,$B18,Calculations!$J$7:$J$31)=0,"",SUMIF(Calculations!$BR$7:$BR$31,$B18,Calculations!$J$7:$J$31))</f>
        <v/>
      </c>
      <c r="D18" s="490" t="str">
        <f t="shared" si="0"/>
        <v/>
      </c>
      <c r="E18" s="491" t="str">
        <f t="shared" si="1"/>
        <v/>
      </c>
      <c r="F18" s="491" t="str">
        <f t="shared" si="1"/>
        <v/>
      </c>
      <c r="G18" s="492"/>
      <c r="H18" s="490" t="str">
        <f>IF(C18="","",IF(ISERROR(SUMIF(Calculations!$BR$7:$BR$31,$B18,Calculations!$AR$7:$AR$31)),"",SUMIF(Calculations!$BR$7:$BR$31,$B18,Calculations!$AR$7:$AR$31)))</f>
        <v/>
      </c>
      <c r="I18" s="491" t="str">
        <f>IF(C18="","",IF(ISERROR(SUMIF(Calculations!$BR$7:$BR$31,$B18,Calculations!$BK$7:$BK$31)),"",SUMIF(Calculations!$BR$7:$BR$31,$B18,Calculations!$BK$7:$BK$31)))</f>
        <v/>
      </c>
      <c r="J18" s="491" t="str">
        <f>IF(C18="","",IF(ISERROR(SUMIF(Calculations!$BR$7:$BR$31,$B18,Calculations!$BI$7:$BI$31)),"",SUMIF(Calculations!$BR$7:$BR$31,$B18,Calculations!$BI$7:$BI$31)))</f>
        <v/>
      </c>
      <c r="K18" s="493" t="str">
        <f>IF($C18="","",IF(SUMIF(Calculations!$BR$7:$BR$31,$B18,Calculations!$BM$7:$BM$31)=0,"",SUMIF(Calculations!$BR$7:$BR$31,$B18,Calculations!$BM$7:$BM$31)))</f>
        <v/>
      </c>
    </row>
    <row r="19" spans="2:11" x14ac:dyDescent="0.3">
      <c r="B19" s="488" t="s">
        <v>487</v>
      </c>
      <c r="C19" s="489" t="str">
        <f>IF(SUMIF(Calculations!$BR$7:$BR$31,$B19,Calculations!$J$7:$J$31)=0,"",SUMIF(Calculations!$BR$7:$BR$31,$B19,Calculations!$J$7:$J$31))</f>
        <v/>
      </c>
      <c r="D19" s="490" t="str">
        <f t="shared" si="0"/>
        <v/>
      </c>
      <c r="E19" s="491" t="str">
        <f t="shared" si="1"/>
        <v/>
      </c>
      <c r="F19" s="491" t="str">
        <f t="shared" si="1"/>
        <v/>
      </c>
      <c r="G19" s="492"/>
      <c r="H19" s="490" t="str">
        <f>IF(C19="","",IF(ISERROR(SUMIF(Calculations!$BR$7:$BR$31,$B19,Calculations!$AR$7:$AR$31)),"",SUMIF(Calculations!$BR$7:$BR$31,$B19,Calculations!$AR$7:$AR$31)))</f>
        <v/>
      </c>
      <c r="I19" s="491" t="str">
        <f>IF(C19="","",IF(ISERROR(SUMIF(Calculations!$BR$7:$BR$31,$B19,Calculations!$BK$7:$BK$31)),"",SUMIF(Calculations!$BR$7:$BR$31,$B19,Calculations!$BK$7:$BK$31)))</f>
        <v/>
      </c>
      <c r="J19" s="491" t="str">
        <f>IF(C19="","",IF(ISERROR(SUMIF(Calculations!$BR$7:$BR$31,$B19,Calculations!$BI$7:$BI$31)),"",SUMIF(Calculations!$BR$7:$BR$31,$B19,Calculations!$BI$7:$BI$31)))</f>
        <v/>
      </c>
      <c r="K19" s="493" t="str">
        <f>IF($C19="","",IF(SUMIF(Calculations!$BR$7:$BR$31,$B19,Calculations!$BM$7:$BM$31)=0,"",SUMIF(Calculations!$BR$7:$BR$31,$B19,Calculations!$BM$7:$BM$31)))</f>
        <v/>
      </c>
    </row>
    <row r="20" spans="2:11" x14ac:dyDescent="0.3">
      <c r="B20" s="488" t="s">
        <v>497</v>
      </c>
      <c r="C20" s="489" t="str">
        <f>IF(SUMIF(Calculations!$BR$7:$BR$31,$B20,Calculations!$J$7:$J$31)=0,"",SUMIF(Calculations!$BR$7:$BR$31,$B20,Calculations!$J$7:$J$31))</f>
        <v/>
      </c>
      <c r="D20" s="490" t="str">
        <f t="shared" si="0"/>
        <v/>
      </c>
      <c r="E20" s="491" t="str">
        <f t="shared" si="1"/>
        <v/>
      </c>
      <c r="F20" s="491" t="str">
        <f t="shared" si="1"/>
        <v/>
      </c>
      <c r="G20" s="492"/>
      <c r="H20" s="490" t="str">
        <f>IF(C20="","",IF(ISERROR(SUMIF(Calculations!$BR$7:$BR$31,$B20,Calculations!$AR$7:$AR$31)),"",SUMIF(Calculations!$BR$7:$BR$31,$B20,Calculations!$AR$7:$AR$31)))</f>
        <v/>
      </c>
      <c r="I20" s="491" t="str">
        <f>IF(C20="","",IF(ISERROR(SUMIF(Calculations!$BR$7:$BR$31,$B20,Calculations!$BK$7:$BK$31)),"",SUMIF(Calculations!$BR$7:$BR$31,$B20,Calculations!$BK$7:$BK$31)))</f>
        <v/>
      </c>
      <c r="J20" s="491" t="str">
        <f>IF(C20="","",IF(ISERROR(SUMIF(Calculations!$BR$7:$BR$31,$B20,Calculations!$BI$7:$BI$31)),"",SUMIF(Calculations!$BR$7:$BR$31,$B20,Calculations!$BI$7:$BI$31)))</f>
        <v/>
      </c>
      <c r="K20" s="493" t="str">
        <f>IF($C20="","",IF(SUMIF(Calculations!$BR$7:$BR$31,$B20,Calculations!$BM$7:$BM$31)=0,"",SUMIF(Calculations!$BR$7:$BR$31,$B20,Calculations!$BM$7:$BM$31)))</f>
        <v/>
      </c>
    </row>
    <row r="21" spans="2:11" x14ac:dyDescent="0.3">
      <c r="B21" s="488" t="s">
        <v>509</v>
      </c>
      <c r="C21" s="489" t="str">
        <f>IF(SUMIF(Calculations!$BR$7:$BR$31,$B21,Calculations!$J$7:$J$31)=0,"",SUMIF(Calculations!$BR$7:$BR$31,$B21,Calculations!$J$7:$J$31))</f>
        <v/>
      </c>
      <c r="D21" s="490" t="str">
        <f t="shared" si="0"/>
        <v/>
      </c>
      <c r="E21" s="491" t="str">
        <f t="shared" si="1"/>
        <v/>
      </c>
      <c r="F21" s="491" t="str">
        <f t="shared" si="1"/>
        <v/>
      </c>
      <c r="G21" s="492"/>
      <c r="H21" s="490" t="str">
        <f>IF(C21="","",IF(ISERROR(SUMIF(Calculations!$BR$7:$BR$31,$B21,Calculations!$AR$7:$AR$31)),"",SUMIF(Calculations!$BR$7:$BR$31,$B21,Calculations!$AR$7:$AR$31)))</f>
        <v/>
      </c>
      <c r="I21" s="491" t="str">
        <f>IF(C21="","",IF(ISERROR(SUMIF(Calculations!$BR$7:$BR$31,$B21,Calculations!$BK$7:$BK$31)),"",SUMIF(Calculations!$BR$7:$BR$31,$B21,Calculations!$BK$7:$BK$31)))</f>
        <v/>
      </c>
      <c r="J21" s="491" t="str">
        <f>IF(C21="","",IF(ISERROR(SUMIF(Calculations!$BR$7:$BR$31,$B21,Calculations!$BI$7:$BI$31)),"",SUMIF(Calculations!$BR$7:$BR$31,$B21,Calculations!$BI$7:$BI$31)))</f>
        <v/>
      </c>
      <c r="K21" s="493" t="str">
        <f>IF($C21="","",IF(SUMIF(Calculations!$BR$7:$BR$31,$B21,Calculations!$BM$7:$BM$31)=0,"",SUMIF(Calculations!$BR$7:$BR$31,$B21,Calculations!$BM$7:$BM$31)))</f>
        <v/>
      </c>
    </row>
    <row r="22" spans="2:11" x14ac:dyDescent="0.3">
      <c r="B22" s="488" t="s">
        <v>488</v>
      </c>
      <c r="C22" s="489" t="str">
        <f>IF(SUMIF(Calculations!$BR$7:$BR$31,$B22,Calculations!$J$7:$J$31)=0,"",SUMIF(Calculations!$BR$7:$BR$31,$B22,Calculations!$J$7:$J$31))</f>
        <v/>
      </c>
      <c r="D22" s="490" t="str">
        <f t="shared" si="0"/>
        <v/>
      </c>
      <c r="E22" s="491" t="str">
        <f t="shared" si="1"/>
        <v/>
      </c>
      <c r="F22" s="491" t="str">
        <f t="shared" si="1"/>
        <v/>
      </c>
      <c r="G22" s="492"/>
      <c r="H22" s="490" t="str">
        <f>IF(C22="","",IF(ISERROR(SUMIF(Calculations!$BR$7:$BR$31,$B22,Calculations!$AR$7:$AR$31)),"",SUMIF(Calculations!$BR$7:$BR$31,$B22,Calculations!$AR$7:$AR$31)))</f>
        <v/>
      </c>
      <c r="I22" s="491" t="str">
        <f>IF(C22="","",IF(ISERROR(SUMIF(Calculations!$BR$7:$BR$31,$B22,Calculations!$BK$7:$BK$31)),"",SUMIF(Calculations!$BR$7:$BR$31,$B22,Calculations!$BK$7:$BK$31)))</f>
        <v/>
      </c>
      <c r="J22" s="491" t="str">
        <f>IF(C22="","",IF(ISERROR(SUMIF(Calculations!$BR$7:$BR$31,$B22,Calculations!$BI$7:$BI$31)),"",SUMIF(Calculations!$BR$7:$BR$31,$B22,Calculations!$BI$7:$BI$31)))</f>
        <v/>
      </c>
      <c r="K22" s="493" t="str">
        <f>IF($C22="","",IF(SUMIF(Calculations!$BR$7:$BR$31,$B22,Calculations!$BM$7:$BM$31)=0,"",SUMIF(Calculations!$BR$7:$BR$31,$B22,Calculations!$BM$7:$BM$31)))</f>
        <v/>
      </c>
    </row>
    <row r="23" spans="2:11" x14ac:dyDescent="0.3">
      <c r="B23" s="488" t="s">
        <v>498</v>
      </c>
      <c r="C23" s="489" t="str">
        <f>IF(SUMIF(Calculations!$BR$7:$BR$31,$B23,Calculations!$J$7:$J$31)=0,"",SUMIF(Calculations!$BR$7:$BR$31,$B23,Calculations!$J$7:$J$31))</f>
        <v/>
      </c>
      <c r="D23" s="490" t="str">
        <f t="shared" si="0"/>
        <v/>
      </c>
      <c r="E23" s="491" t="str">
        <f t="shared" si="1"/>
        <v/>
      </c>
      <c r="F23" s="491" t="str">
        <f t="shared" si="1"/>
        <v/>
      </c>
      <c r="G23" s="492"/>
      <c r="H23" s="490" t="str">
        <f>IF(C23="","",IF(ISERROR(SUMIF(Calculations!$BR$7:$BR$31,$B23,Calculations!$AR$7:$AR$31)),"",SUMIF(Calculations!$BR$7:$BR$31,$B23,Calculations!$AR$7:$AR$31)))</f>
        <v/>
      </c>
      <c r="I23" s="491" t="str">
        <f>IF(C23="","",IF(ISERROR(SUMIF(Calculations!$BR$7:$BR$31,$B23,Calculations!$BK$7:$BK$31)),"",SUMIF(Calculations!$BR$7:$BR$31,$B23,Calculations!$BK$7:$BK$31)))</f>
        <v/>
      </c>
      <c r="J23" s="491" t="str">
        <f>IF(C23="","",IF(ISERROR(SUMIF(Calculations!$BR$7:$BR$31,$B23,Calculations!$BI$7:$BI$31)),"",SUMIF(Calculations!$BR$7:$BR$31,$B23,Calculations!$BI$7:$BI$31)))</f>
        <v/>
      </c>
      <c r="K23" s="493" t="str">
        <f>IF($C23="","",IF(SUMIF(Calculations!$BR$7:$BR$31,$B23,Calculations!$BM$7:$BM$31)=0,"",SUMIF(Calculations!$BR$7:$BR$31,$B23,Calculations!$BM$7:$BM$31)))</f>
        <v/>
      </c>
    </row>
    <row r="24" spans="2:11" x14ac:dyDescent="0.3">
      <c r="B24" s="488" t="s">
        <v>510</v>
      </c>
      <c r="C24" s="489" t="str">
        <f>IF(SUMIF(Calculations!$BR$7:$BR$31,$B24,Calculations!$J$7:$J$31)=0,"",SUMIF(Calculations!$BR$7:$BR$31,$B24,Calculations!$J$7:$J$31))</f>
        <v/>
      </c>
      <c r="D24" s="490" t="str">
        <f t="shared" si="0"/>
        <v/>
      </c>
      <c r="E24" s="491" t="str">
        <f t="shared" si="1"/>
        <v/>
      </c>
      <c r="F24" s="491" t="str">
        <f t="shared" si="1"/>
        <v/>
      </c>
      <c r="G24" s="492"/>
      <c r="H24" s="490" t="str">
        <f>IF(C24="","",IF(ISERROR(SUMIF(Calculations!$BR$7:$BR$31,$B24,Calculations!$AR$7:$AR$31)),"",SUMIF(Calculations!$BR$7:$BR$31,$B24,Calculations!$AR$7:$AR$31)))</f>
        <v/>
      </c>
      <c r="I24" s="491" t="str">
        <f>IF(C24="","",IF(ISERROR(SUMIF(Calculations!$BR$7:$BR$31,$B24,Calculations!$BK$7:$BK$31)),"",SUMIF(Calculations!$BR$7:$BR$31,$B24,Calculations!$BK$7:$BK$31)))</f>
        <v/>
      </c>
      <c r="J24" s="491" t="str">
        <f>IF(C24="","",IF(ISERROR(SUMIF(Calculations!$BR$7:$BR$31,$B24,Calculations!$BI$7:$BI$31)),"",SUMIF(Calculations!$BR$7:$BR$31,$B24,Calculations!$BI$7:$BI$31)))</f>
        <v/>
      </c>
      <c r="K24" s="493" t="str">
        <f>IF($C24="","",IF(SUMIF(Calculations!$BR$7:$BR$31,$B24,Calculations!$BM$7:$BM$31)=0,"",SUMIF(Calculations!$BR$7:$BR$31,$B24,Calculations!$BM$7:$BM$31)))</f>
        <v/>
      </c>
    </row>
    <row r="25" spans="2:11" x14ac:dyDescent="0.3">
      <c r="B25" s="488" t="s">
        <v>489</v>
      </c>
      <c r="C25" s="489" t="str">
        <f>IF(SUMIF(Calculations!$BR$7:$BR$31,$B25,Calculations!$J$7:$J$31)=0,"",SUMIF(Calculations!$BR$7:$BR$31,$B25,Calculations!$J$7:$J$31))</f>
        <v/>
      </c>
      <c r="D25" s="490" t="str">
        <f t="shared" si="0"/>
        <v/>
      </c>
      <c r="E25" s="491" t="str">
        <f t="shared" si="1"/>
        <v/>
      </c>
      <c r="F25" s="491" t="str">
        <f t="shared" si="1"/>
        <v/>
      </c>
      <c r="G25" s="492"/>
      <c r="H25" s="490" t="str">
        <f>IF(C25="","",IF(ISERROR(SUMIF(Calculations!$BR$7:$BR$31,$B25,Calculations!$AR$7:$AR$31)),"",SUMIF(Calculations!$BR$7:$BR$31,$B25,Calculations!$AR$7:$AR$31)))</f>
        <v/>
      </c>
      <c r="I25" s="491" t="str">
        <f>IF(C25="","",IF(ISERROR(SUMIF(Calculations!$BR$7:$BR$31,$B25,Calculations!$BK$7:$BK$31)),"",SUMIF(Calculations!$BR$7:$BR$31,$B25,Calculations!$BK$7:$BK$31)))</f>
        <v/>
      </c>
      <c r="J25" s="491" t="str">
        <f>IF(C25="","",IF(ISERROR(SUMIF(Calculations!$BR$7:$BR$31,$B25,Calculations!$BI$7:$BI$31)),"",SUMIF(Calculations!$BR$7:$BR$31,$B25,Calculations!$BI$7:$BI$31)))</f>
        <v/>
      </c>
      <c r="K25" s="493" t="str">
        <f>IF($C25="","",IF(SUMIF(Calculations!$BR$7:$BR$31,$B25,Calculations!$BM$7:$BM$31)=0,"",SUMIF(Calculations!$BR$7:$BR$31,$B25,Calculations!$BM$7:$BM$31)))</f>
        <v/>
      </c>
    </row>
    <row r="26" spans="2:11" x14ac:dyDescent="0.3">
      <c r="B26" s="488" t="s">
        <v>499</v>
      </c>
      <c r="C26" s="489" t="str">
        <f>IF(SUMIF(Calculations!$BR$7:$BR$31,$B26,Calculations!$J$7:$J$31)=0,"",SUMIF(Calculations!$BR$7:$BR$31,$B26,Calculations!$J$7:$J$31))</f>
        <v/>
      </c>
      <c r="D26" s="490" t="str">
        <f t="shared" si="0"/>
        <v/>
      </c>
      <c r="E26" s="491" t="str">
        <f t="shared" si="1"/>
        <v/>
      </c>
      <c r="F26" s="491" t="str">
        <f t="shared" si="1"/>
        <v/>
      </c>
      <c r="G26" s="492"/>
      <c r="H26" s="490" t="str">
        <f>IF(C26="","",IF(ISERROR(SUMIF(Calculations!$BR$7:$BR$31,$B26,Calculations!$AR$7:$AR$31)),"",SUMIF(Calculations!$BR$7:$BR$31,$B26,Calculations!$AR$7:$AR$31)))</f>
        <v/>
      </c>
      <c r="I26" s="491" t="str">
        <f>IF(C26="","",IF(ISERROR(SUMIF(Calculations!$BR$7:$BR$31,$B26,Calculations!$BK$7:$BK$31)),"",SUMIF(Calculations!$BR$7:$BR$31,$B26,Calculations!$BK$7:$BK$31)))</f>
        <v/>
      </c>
      <c r="J26" s="491" t="str">
        <f>IF(C26="","",IF(ISERROR(SUMIF(Calculations!$BR$7:$BR$31,$B26,Calculations!$BI$7:$BI$31)),"",SUMIF(Calculations!$BR$7:$BR$31,$B26,Calculations!$BI$7:$BI$31)))</f>
        <v/>
      </c>
      <c r="K26" s="493" t="str">
        <f>IF($C26="","",IF(SUMIF(Calculations!$BR$7:$BR$31,$B26,Calculations!$BM$7:$BM$31)=0,"",SUMIF(Calculations!$BR$7:$BR$31,$B26,Calculations!$BM$7:$BM$31)))</f>
        <v/>
      </c>
    </row>
    <row r="27" spans="2:11" x14ac:dyDescent="0.3">
      <c r="B27" s="488" t="s">
        <v>511</v>
      </c>
      <c r="C27" s="489" t="str">
        <f>IF(SUMIF(Calculations!$BR$7:$BR$31,$B27,Calculations!$J$7:$J$31)=0,"",SUMIF(Calculations!$BR$7:$BR$31,$B27,Calculations!$J$7:$J$31))</f>
        <v/>
      </c>
      <c r="D27" s="490" t="str">
        <f t="shared" si="0"/>
        <v/>
      </c>
      <c r="E27" s="491" t="str">
        <f t="shared" si="1"/>
        <v/>
      </c>
      <c r="F27" s="491" t="str">
        <f t="shared" si="1"/>
        <v/>
      </c>
      <c r="G27" s="492"/>
      <c r="H27" s="490" t="str">
        <f>IF(C27="","",IF(ISERROR(SUMIF(Calculations!$BR$7:$BR$31,$B27,Calculations!$AR$7:$AR$31)),"",SUMIF(Calculations!$BR$7:$BR$31,$B27,Calculations!$AR$7:$AR$31)))</f>
        <v/>
      </c>
      <c r="I27" s="491" t="str">
        <f>IF(C27="","",IF(ISERROR(SUMIF(Calculations!$BR$7:$BR$31,$B27,Calculations!$BK$7:$BK$31)),"",SUMIF(Calculations!$BR$7:$BR$31,$B27,Calculations!$BK$7:$BK$31)))</f>
        <v/>
      </c>
      <c r="J27" s="491" t="str">
        <f>IF(C27="","",IF(ISERROR(SUMIF(Calculations!$BR$7:$BR$31,$B27,Calculations!$BI$7:$BI$31)),"",SUMIF(Calculations!$BR$7:$BR$31,$B27,Calculations!$BI$7:$BI$31)))</f>
        <v/>
      </c>
      <c r="K27" s="493" t="str">
        <f>IF($C27="","",IF(SUMIF(Calculations!$BR$7:$BR$31,$B27,Calculations!$BM$7:$BM$31)=0,"",SUMIF(Calculations!$BR$7:$BR$31,$B27,Calculations!$BM$7:$BM$31)))</f>
        <v/>
      </c>
    </row>
    <row r="28" spans="2:11" x14ac:dyDescent="0.3">
      <c r="B28" s="488" t="s">
        <v>490</v>
      </c>
      <c r="C28" s="489" t="str">
        <f>IF(SUMIF(Calculations!$BR$7:$BR$31,$B28,Calculations!$J$7:$J$31)=0,"",SUMIF(Calculations!$BR$7:$BR$31,$B28,Calculations!$J$7:$J$31))</f>
        <v/>
      </c>
      <c r="D28" s="490" t="str">
        <f t="shared" si="0"/>
        <v/>
      </c>
      <c r="E28" s="491" t="str">
        <f t="shared" si="1"/>
        <v/>
      </c>
      <c r="F28" s="491" t="str">
        <f t="shared" si="1"/>
        <v/>
      </c>
      <c r="G28" s="492"/>
      <c r="H28" s="490" t="str">
        <f>IF(C28="","",IF(ISERROR(SUMIF(Calculations!$BR$7:$BR$31,$B28,Calculations!$AR$7:$AR$31)),"",SUMIF(Calculations!$BR$7:$BR$31,$B28,Calculations!$AR$7:$AR$31)))</f>
        <v/>
      </c>
      <c r="I28" s="491" t="str">
        <f>IF(C28="","",IF(ISERROR(SUMIF(Calculations!$BR$7:$BR$31,$B28,Calculations!$BK$7:$BK$31)),"",SUMIF(Calculations!$BR$7:$BR$31,$B28,Calculations!$BK$7:$BK$31)))</f>
        <v/>
      </c>
      <c r="J28" s="491" t="str">
        <f>IF(C28="","",IF(ISERROR(SUMIF(Calculations!$BR$7:$BR$31,$B28,Calculations!$BI$7:$BI$31)),"",SUMIF(Calculations!$BR$7:$BR$31,$B28,Calculations!$BI$7:$BI$31)))</f>
        <v/>
      </c>
      <c r="K28" s="493" t="str">
        <f>IF($C28="","",IF(SUMIF(Calculations!$BR$7:$BR$31,$B28,Calculations!$BM$7:$BM$31)=0,"",SUMIF(Calculations!$BR$7:$BR$31,$B28,Calculations!$BM$7:$BM$31)))</f>
        <v/>
      </c>
    </row>
    <row r="29" spans="2:11" x14ac:dyDescent="0.3">
      <c r="B29" s="488" t="s">
        <v>500</v>
      </c>
      <c r="C29" s="489" t="str">
        <f>IF(SUMIF(Calculations!$BR$7:$BR$31,$B29,Calculations!$J$7:$J$31)=0,"",SUMIF(Calculations!$BR$7:$BR$31,$B29,Calculations!$J$7:$J$31))</f>
        <v/>
      </c>
      <c r="D29" s="490" t="str">
        <f t="shared" si="0"/>
        <v/>
      </c>
      <c r="E29" s="491" t="str">
        <f t="shared" si="1"/>
        <v/>
      </c>
      <c r="F29" s="491" t="str">
        <f t="shared" si="1"/>
        <v/>
      </c>
      <c r="G29" s="492"/>
      <c r="H29" s="490" t="str">
        <f>IF(C29="","",IF(ISERROR(SUMIF(Calculations!$BR$7:$BR$31,$B29,Calculations!$AR$7:$AR$31)),"",SUMIF(Calculations!$BR$7:$BR$31,$B29,Calculations!$AR$7:$AR$31)))</f>
        <v/>
      </c>
      <c r="I29" s="491" t="str">
        <f>IF(C29="","",IF(ISERROR(SUMIF(Calculations!$BR$7:$BR$31,$B29,Calculations!$BK$7:$BK$31)),"",SUMIF(Calculations!$BR$7:$BR$31,$B29,Calculations!$BK$7:$BK$31)))</f>
        <v/>
      </c>
      <c r="J29" s="491" t="str">
        <f>IF(C29="","",IF(ISERROR(SUMIF(Calculations!$BR$7:$BR$31,$B29,Calculations!$BI$7:$BI$31)),"",SUMIF(Calculations!$BR$7:$BR$31,$B29,Calculations!$BI$7:$BI$31)))</f>
        <v/>
      </c>
      <c r="K29" s="493" t="str">
        <f>IF($C29="","",IF(SUMIF(Calculations!$BR$7:$BR$31,$B29,Calculations!$BM$7:$BM$31)=0,"",SUMIF(Calculations!$BR$7:$BR$31,$B29,Calculations!$BM$7:$BM$31)))</f>
        <v/>
      </c>
    </row>
    <row r="30" spans="2:11" x14ac:dyDescent="0.3">
      <c r="B30" s="488" t="s">
        <v>512</v>
      </c>
      <c r="C30" s="489" t="str">
        <f>IF(SUMIF(Calculations!$BR$7:$BR$31,$B30,Calculations!$J$7:$J$31)=0,"",SUMIF(Calculations!$BR$7:$BR$31,$B30,Calculations!$J$7:$J$31))</f>
        <v/>
      </c>
      <c r="D30" s="490" t="str">
        <f t="shared" si="0"/>
        <v/>
      </c>
      <c r="E30" s="491" t="str">
        <f t="shared" si="1"/>
        <v/>
      </c>
      <c r="F30" s="491" t="str">
        <f t="shared" si="1"/>
        <v/>
      </c>
      <c r="G30" s="492"/>
      <c r="H30" s="490" t="str">
        <f>IF(C30="","",IF(ISERROR(SUMIF(Calculations!$BR$7:$BR$31,$B30,Calculations!$AR$7:$AR$31)),"",SUMIF(Calculations!$BR$7:$BR$31,$B30,Calculations!$AR$7:$AR$31)))</f>
        <v/>
      </c>
      <c r="I30" s="491" t="str">
        <f>IF(C30="","",IF(ISERROR(SUMIF(Calculations!$BR$7:$BR$31,$B30,Calculations!$BK$7:$BK$31)),"",SUMIF(Calculations!$BR$7:$BR$31,$B30,Calculations!$BK$7:$BK$31)))</f>
        <v/>
      </c>
      <c r="J30" s="491" t="str">
        <f>IF(C30="","",IF(ISERROR(SUMIF(Calculations!$BR$7:$BR$31,$B30,Calculations!$BI$7:$BI$31)),"",SUMIF(Calculations!$BR$7:$BR$31,$B30,Calculations!$BI$7:$BI$31)))</f>
        <v/>
      </c>
      <c r="K30" s="493" t="str">
        <f>IF($C30="","",IF(SUMIF(Calculations!$BR$7:$BR$31,$B30,Calculations!$BM$7:$BM$31)=0,"",SUMIF(Calculations!$BR$7:$BR$31,$B30,Calculations!$BM$7:$BM$31)))</f>
        <v/>
      </c>
    </row>
    <row r="31" spans="2:11" x14ac:dyDescent="0.3">
      <c r="B31" s="488" t="s">
        <v>491</v>
      </c>
      <c r="C31" s="489" t="str">
        <f>IF(SUMIF(Calculations!$BR$7:$BR$31,$B31,Calculations!$J$7:$J$31)=0,"",SUMIF(Calculations!$BR$7:$BR$31,$B31,Calculations!$J$7:$J$31))</f>
        <v/>
      </c>
      <c r="D31" s="490" t="str">
        <f t="shared" si="0"/>
        <v/>
      </c>
      <c r="E31" s="491" t="str">
        <f t="shared" si="1"/>
        <v/>
      </c>
      <c r="F31" s="491" t="str">
        <f t="shared" si="1"/>
        <v/>
      </c>
      <c r="G31" s="492"/>
      <c r="H31" s="490" t="str">
        <f>IF(C31="","",IF(ISERROR(SUMIF(Calculations!$BR$7:$BR$31,$B31,Calculations!$AR$7:$AR$31)),"",SUMIF(Calculations!$BR$7:$BR$31,$B31,Calculations!$AR$7:$AR$31)))</f>
        <v/>
      </c>
      <c r="I31" s="491" t="str">
        <f>IF(C31="","",IF(ISERROR(SUMIF(Calculations!$BR$7:$BR$31,$B31,Calculations!$BK$7:$BK$31)),"",SUMIF(Calculations!$BR$7:$BR$31,$B31,Calculations!$BK$7:$BK$31)))</f>
        <v/>
      </c>
      <c r="J31" s="491" t="str">
        <f>IF(C31="","",IF(ISERROR(SUMIF(Calculations!$BR$7:$BR$31,$B31,Calculations!$BI$7:$BI$31)),"",SUMIF(Calculations!$BR$7:$BR$31,$B31,Calculations!$BI$7:$BI$31)))</f>
        <v/>
      </c>
      <c r="K31" s="493" t="str">
        <f>IF($C31="","",IF(SUMIF(Calculations!$BR$7:$BR$31,$B31,Calculations!$BM$7:$BM$31)=0,"",SUMIF(Calculations!$BR$7:$BR$31,$B31,Calculations!$BM$7:$BM$31)))</f>
        <v/>
      </c>
    </row>
    <row r="32" spans="2:11" x14ac:dyDescent="0.3">
      <c r="B32" s="488" t="s">
        <v>501</v>
      </c>
      <c r="C32" s="489" t="str">
        <f>IF(SUMIF(Calculations!$BR$7:$BR$31,$B32,Calculations!$J$7:$J$31)=0,"",SUMIF(Calculations!$BR$7:$BR$31,$B32,Calculations!$J$7:$J$31))</f>
        <v/>
      </c>
      <c r="D32" s="490" t="str">
        <f t="shared" si="0"/>
        <v/>
      </c>
      <c r="E32" s="491" t="str">
        <f t="shared" si="1"/>
        <v/>
      </c>
      <c r="F32" s="491" t="str">
        <f t="shared" si="1"/>
        <v/>
      </c>
      <c r="G32" s="492"/>
      <c r="H32" s="490" t="str">
        <f>IF(C32="","",IF(ISERROR(SUMIF(Calculations!$BR$7:$BR$31,$B32,Calculations!$AR$7:$AR$31)),"",SUMIF(Calculations!$BR$7:$BR$31,$B32,Calculations!$AR$7:$AR$31)))</f>
        <v/>
      </c>
      <c r="I32" s="491" t="str">
        <f>IF(C32="","",IF(ISERROR(SUMIF(Calculations!$BR$7:$BR$31,$B32,Calculations!$BK$7:$BK$31)),"",SUMIF(Calculations!$BR$7:$BR$31,$B32,Calculations!$BK$7:$BK$31)))</f>
        <v/>
      </c>
      <c r="J32" s="491" t="str">
        <f>IF(C32="","",IF(ISERROR(SUMIF(Calculations!$BR$7:$BR$31,$B32,Calculations!$BI$7:$BI$31)),"",SUMIF(Calculations!$BR$7:$BR$31,$B32,Calculations!$BI$7:$BI$31)))</f>
        <v/>
      </c>
      <c r="K32" s="493" t="str">
        <f>IF($C32="","",IF(SUMIF(Calculations!$BR$7:$BR$31,$B32,Calculations!$BM$7:$BM$31)=0,"",SUMIF(Calculations!$BR$7:$BR$31,$B32,Calculations!$BM$7:$BM$31)))</f>
        <v/>
      </c>
    </row>
    <row r="33" spans="2:11" x14ac:dyDescent="0.3">
      <c r="B33" s="488" t="s">
        <v>513</v>
      </c>
      <c r="C33" s="489" t="str">
        <f>IF(SUMIF(Calculations!$BR$7:$BR$31,$B33,Calculations!$J$7:$J$31)=0,"",SUMIF(Calculations!$BR$7:$BR$31,$B33,Calculations!$J$7:$J$31))</f>
        <v/>
      </c>
      <c r="D33" s="490" t="str">
        <f t="shared" si="0"/>
        <v/>
      </c>
      <c r="E33" s="491" t="str">
        <f t="shared" si="1"/>
        <v/>
      </c>
      <c r="F33" s="491" t="str">
        <f t="shared" si="1"/>
        <v/>
      </c>
      <c r="G33" s="492"/>
      <c r="H33" s="490" t="str">
        <f>IF(C33="","",IF(ISERROR(SUMIF(Calculations!$BR$7:$BR$31,$B33,Calculations!$AR$7:$AR$31)),"",SUMIF(Calculations!$BR$7:$BR$31,$B33,Calculations!$AR$7:$AR$31)))</f>
        <v/>
      </c>
      <c r="I33" s="491" t="str">
        <f>IF(C33="","",IF(ISERROR(SUMIF(Calculations!$BR$7:$BR$31,$B33,Calculations!$BK$7:$BK$31)),"",SUMIF(Calculations!$BR$7:$BR$31,$B33,Calculations!$BK$7:$BK$31)))</f>
        <v/>
      </c>
      <c r="J33" s="491" t="str">
        <f>IF(C33="","",IF(ISERROR(SUMIF(Calculations!$BR$7:$BR$31,$B33,Calculations!$BI$7:$BI$31)),"",SUMIF(Calculations!$BR$7:$BR$31,$B33,Calculations!$BI$7:$BI$31)))</f>
        <v/>
      </c>
      <c r="K33" s="493" t="str">
        <f>IF($C33="","",IF(SUMIF(Calculations!$BR$7:$BR$31,$B33,Calculations!$BM$7:$BM$31)=0,"",SUMIF(Calculations!$BR$7:$BR$31,$B33,Calculations!$BM$7:$BM$31)))</f>
        <v/>
      </c>
    </row>
    <row r="34" spans="2:11" x14ac:dyDescent="0.3">
      <c r="B34" s="488" t="s">
        <v>492</v>
      </c>
      <c r="C34" s="489" t="str">
        <f>IF(SUMIF(Calculations!$BR$7:$BR$31,$B34,Calculations!$J$7:$J$31)=0,"",SUMIF(Calculations!$BR$7:$BR$31,$B34,Calculations!$J$7:$J$31))</f>
        <v/>
      </c>
      <c r="D34" s="490" t="str">
        <f t="shared" si="0"/>
        <v/>
      </c>
      <c r="E34" s="491" t="str">
        <f t="shared" si="1"/>
        <v/>
      </c>
      <c r="F34" s="491" t="str">
        <f t="shared" si="1"/>
        <v/>
      </c>
      <c r="G34" s="492"/>
      <c r="H34" s="490" t="str">
        <f>IF(C34="","",IF(ISERROR(SUMIF(Calculations!$BR$7:$BR$31,$B34,Calculations!$AR$7:$AR$31)),"",SUMIF(Calculations!$BR$7:$BR$31,$B34,Calculations!$AR$7:$AR$31)))</f>
        <v/>
      </c>
      <c r="I34" s="491" t="str">
        <f>IF(C34="","",IF(ISERROR(SUMIF(Calculations!$BR$7:$BR$31,$B34,Calculations!$BK$7:$BK$31)),"",SUMIF(Calculations!$BR$7:$BR$31,$B34,Calculations!$BK$7:$BK$31)))</f>
        <v/>
      </c>
      <c r="J34" s="491" t="str">
        <f>IF(C34="","",IF(ISERROR(SUMIF(Calculations!$BR$7:$BR$31,$B34,Calculations!$BI$7:$BI$31)),"",SUMIF(Calculations!$BR$7:$BR$31,$B34,Calculations!$BI$7:$BI$31)))</f>
        <v/>
      </c>
      <c r="K34" s="493" t="str">
        <f>IF($C34="","",IF(SUMIF(Calculations!$BR$7:$BR$31,$B34,Calculations!$BM$7:$BM$31)=0,"",SUMIF(Calculations!$BR$7:$BR$31,$B34,Calculations!$BM$7:$BM$31)))</f>
        <v/>
      </c>
    </row>
    <row r="35" spans="2:11" x14ac:dyDescent="0.3">
      <c r="B35" s="488" t="s">
        <v>502</v>
      </c>
      <c r="C35" s="489" t="str">
        <f>IF(SUMIF(Calculations!$BR$7:$BR$31,$B35,Calculations!$J$7:$J$31)=0,"",SUMIF(Calculations!$BR$7:$BR$31,$B35,Calculations!$J$7:$J$31))</f>
        <v/>
      </c>
      <c r="D35" s="490" t="str">
        <f t="shared" si="0"/>
        <v/>
      </c>
      <c r="E35" s="491" t="str">
        <f t="shared" si="1"/>
        <v/>
      </c>
      <c r="F35" s="491" t="str">
        <f t="shared" si="1"/>
        <v/>
      </c>
      <c r="G35" s="492"/>
      <c r="H35" s="490" t="str">
        <f>IF(C35="","",IF(ISERROR(SUMIF(Calculations!$BR$7:$BR$31,$B35,Calculations!$AR$7:$AR$31)),"",SUMIF(Calculations!$BR$7:$BR$31,$B35,Calculations!$AR$7:$AR$31)))</f>
        <v/>
      </c>
      <c r="I35" s="491" t="str">
        <f>IF(C35="","",IF(ISERROR(SUMIF(Calculations!$BR$7:$BR$31,$B35,Calculations!$BK$7:$BK$31)),"",SUMIF(Calculations!$BR$7:$BR$31,$B35,Calculations!$BK$7:$BK$31)))</f>
        <v/>
      </c>
      <c r="J35" s="491" t="str">
        <f>IF(C35="","",IF(ISERROR(SUMIF(Calculations!$BR$7:$BR$31,$B35,Calculations!$BI$7:$BI$31)),"",SUMIF(Calculations!$BR$7:$BR$31,$B35,Calculations!$BI$7:$BI$31)))</f>
        <v/>
      </c>
      <c r="K35" s="493" t="str">
        <f>IF($C35="","",IF(SUMIF(Calculations!$BR$7:$BR$31,$B35,Calculations!$BM$7:$BM$31)=0,"",SUMIF(Calculations!$BR$7:$BR$31,$B35,Calculations!$BM$7:$BM$31)))</f>
        <v/>
      </c>
    </row>
    <row r="36" spans="2:11" x14ac:dyDescent="0.3">
      <c r="B36" s="488" t="s">
        <v>514</v>
      </c>
      <c r="C36" s="489" t="str">
        <f>IF(SUMIF(Calculations!$BR$7:$BR$31,$B36,Calculations!$J$7:$J$31)=0,"",SUMIF(Calculations!$BR$7:$BR$31,$B36,Calculations!$J$7:$J$31))</f>
        <v/>
      </c>
      <c r="D36" s="490" t="str">
        <f t="shared" si="0"/>
        <v/>
      </c>
      <c r="E36" s="491" t="str">
        <f t="shared" si="1"/>
        <v/>
      </c>
      <c r="F36" s="491" t="str">
        <f t="shared" si="1"/>
        <v/>
      </c>
      <c r="G36" s="492"/>
      <c r="H36" s="490" t="str">
        <f>IF(C36="","",IF(ISERROR(SUMIF(Calculations!$BR$7:$BR$31,$B36,Calculations!$AR$7:$AR$31)),"",SUMIF(Calculations!$BR$7:$BR$31,$B36,Calculations!$AR$7:$AR$31)))</f>
        <v/>
      </c>
      <c r="I36" s="491" t="str">
        <f>IF(C36="","",IF(ISERROR(SUMIF(Calculations!$BR$7:$BR$31,$B36,Calculations!$BK$7:$BK$31)),"",SUMIF(Calculations!$BR$7:$BR$31,$B36,Calculations!$BK$7:$BK$31)))</f>
        <v/>
      </c>
      <c r="J36" s="491" t="str">
        <f>IF(C36="","",IF(ISERROR(SUMIF(Calculations!$BR$7:$BR$31,$B36,Calculations!$BI$7:$BI$31)),"",SUMIF(Calculations!$BR$7:$BR$31,$B36,Calculations!$BI$7:$BI$31)))</f>
        <v/>
      </c>
      <c r="K36" s="493" t="str">
        <f>IF($C36="","",IF(SUMIF(Calculations!$BR$7:$BR$31,$B36,Calculations!$BM$7:$BM$31)=0,"",SUMIF(Calculations!$BR$7:$BR$31,$B36,Calculations!$BM$7:$BM$31)))</f>
        <v/>
      </c>
    </row>
    <row r="37" spans="2:11" x14ac:dyDescent="0.3">
      <c r="B37" s="488" t="s">
        <v>493</v>
      </c>
      <c r="C37" s="489" t="str">
        <f>IF(SUMIF(Calculations!$BR$7:$BR$31,$B37,Calculations!$J$7:$J$31)=0,"",SUMIF(Calculations!$BR$7:$BR$31,$B37,Calculations!$J$7:$J$31))</f>
        <v/>
      </c>
      <c r="D37" s="490" t="str">
        <f t="shared" si="0"/>
        <v/>
      </c>
      <c r="E37" s="491" t="str">
        <f t="shared" si="1"/>
        <v/>
      </c>
      <c r="F37" s="491" t="str">
        <f t="shared" si="1"/>
        <v/>
      </c>
      <c r="G37" s="492"/>
      <c r="H37" s="490" t="str">
        <f>IF(C37="","",IF(ISERROR(SUMIF(Calculations!$BR$7:$BR$31,$B37,Calculations!$AR$7:$AR$31)),"",SUMIF(Calculations!$BR$7:$BR$31,$B37,Calculations!$AR$7:$AR$31)))</f>
        <v/>
      </c>
      <c r="I37" s="491" t="str">
        <f>IF(C37="","",IF(ISERROR(SUMIF(Calculations!$BR$7:$BR$31,$B37,Calculations!$BK$7:$BK$31)),"",SUMIF(Calculations!$BR$7:$BR$31,$B37,Calculations!$BK$7:$BK$31)))</f>
        <v/>
      </c>
      <c r="J37" s="491" t="str">
        <f>IF(C37="","",IF(ISERROR(SUMIF(Calculations!$BR$7:$BR$31,$B37,Calculations!$BI$7:$BI$31)),"",SUMIF(Calculations!$BR$7:$BR$31,$B37,Calculations!$BI$7:$BI$31)))</f>
        <v/>
      </c>
      <c r="K37" s="493" t="str">
        <f>IF($C37="","",IF(SUMIF(Calculations!$BR$7:$BR$31,$B37,Calculations!$BM$7:$BM$31)=0,"",SUMIF(Calculations!$BR$7:$BR$31,$B37,Calculations!$BM$7:$BM$31)))</f>
        <v/>
      </c>
    </row>
    <row r="38" spans="2:11" x14ac:dyDescent="0.3">
      <c r="B38" s="488" t="s">
        <v>503</v>
      </c>
      <c r="C38" s="489" t="str">
        <f>IF(SUMIF(Calculations!$BR$7:$BR$31,$B38,Calculations!$J$7:$J$31)=0,"",SUMIF(Calculations!$BR$7:$BR$31,$B38,Calculations!$J$7:$J$31))</f>
        <v/>
      </c>
      <c r="D38" s="490" t="str">
        <f t="shared" si="0"/>
        <v/>
      </c>
      <c r="E38" s="491" t="str">
        <f t="shared" si="1"/>
        <v/>
      </c>
      <c r="F38" s="491" t="str">
        <f t="shared" si="1"/>
        <v/>
      </c>
      <c r="G38" s="492"/>
      <c r="H38" s="490" t="str">
        <f>IF(C38="","",IF(ISERROR(SUMIF(Calculations!$BR$7:$BR$31,$B38,Calculations!$AR$7:$AR$31)),"",SUMIF(Calculations!$BR$7:$BR$31,$B38,Calculations!$AR$7:$AR$31)))</f>
        <v/>
      </c>
      <c r="I38" s="491" t="str">
        <f>IF(C38="","",IF(ISERROR(SUMIF(Calculations!$BR$7:$BR$31,$B38,Calculations!$BK$7:$BK$31)),"",SUMIF(Calculations!$BR$7:$BR$31,$B38,Calculations!$BK$7:$BK$31)))</f>
        <v/>
      </c>
      <c r="J38" s="491" t="str">
        <f>IF(C38="","",IF(ISERROR(SUMIF(Calculations!$BR$7:$BR$31,$B38,Calculations!$BI$7:$BI$31)),"",SUMIF(Calculations!$BR$7:$BR$31,$B38,Calculations!$BI$7:$BI$31)))</f>
        <v/>
      </c>
      <c r="K38" s="493" t="str">
        <f>IF($C38="","",IF(SUMIF(Calculations!$BR$7:$BR$31,$B38,Calculations!$BM$7:$BM$31)=0,"",SUMIF(Calculations!$BR$7:$BR$31,$B38,Calculations!$BM$7:$BM$31)))</f>
        <v/>
      </c>
    </row>
    <row r="39" spans="2:11" x14ac:dyDescent="0.3">
      <c r="B39" s="488" t="s">
        <v>515</v>
      </c>
      <c r="C39" s="489" t="str">
        <f>IF(SUMIF(Calculations!$BR$7:$BR$31,$B39,Calculations!$J$7:$J$31)=0,"",SUMIF(Calculations!$BR$7:$BR$31,$B39,Calculations!$J$7:$J$31))</f>
        <v/>
      </c>
      <c r="D39" s="490" t="str">
        <f t="shared" si="0"/>
        <v/>
      </c>
      <c r="E39" s="491" t="str">
        <f t="shared" si="1"/>
        <v/>
      </c>
      <c r="F39" s="491" t="str">
        <f t="shared" si="1"/>
        <v/>
      </c>
      <c r="G39" s="492"/>
      <c r="H39" s="490" t="str">
        <f>IF(C39="","",IF(ISERROR(SUMIF(Calculations!$BR$7:$BR$31,$B39,Calculations!$AR$7:$AR$31)),"",SUMIF(Calculations!$BR$7:$BR$31,$B39,Calculations!$AR$7:$AR$31)))</f>
        <v/>
      </c>
      <c r="I39" s="491" t="str">
        <f>IF(C39="","",IF(ISERROR(SUMIF(Calculations!$BR$7:$BR$31,$B39,Calculations!$BK$7:$BK$31)),"",SUMIF(Calculations!$BR$7:$BR$31,$B39,Calculations!$BK$7:$BK$31)))</f>
        <v/>
      </c>
      <c r="J39" s="491" t="str">
        <f>IF(C39="","",IF(ISERROR(SUMIF(Calculations!$BR$7:$BR$31,$B39,Calculations!$BI$7:$BI$31)),"",SUMIF(Calculations!$BR$7:$BR$31,$B39,Calculations!$BI$7:$BI$31)))</f>
        <v/>
      </c>
      <c r="K39" s="493" t="str">
        <f>IF($C39="","",IF(SUMIF(Calculations!$BR$7:$BR$31,$B39,Calculations!$BM$7:$BM$31)=0,"",SUMIF(Calculations!$BR$7:$BR$31,$B39,Calculations!$BM$7:$BM$31)))</f>
        <v/>
      </c>
    </row>
    <row r="40" spans="2:11" x14ac:dyDescent="0.3">
      <c r="B40" s="488" t="s">
        <v>504</v>
      </c>
      <c r="C40" s="489" t="str">
        <f>IF(SUMIF(Calculations!$BR$7:$BR$31,$B40,Calculations!$J$7:$J$31)=0,"",SUMIF(Calculations!$BR$7:$BR$31,$B40,Calculations!$J$7:$J$31))</f>
        <v/>
      </c>
      <c r="D40" s="490" t="str">
        <f t="shared" si="0"/>
        <v/>
      </c>
      <c r="E40" s="491" t="str">
        <f t="shared" si="1"/>
        <v/>
      </c>
      <c r="F40" s="491" t="str">
        <f t="shared" si="1"/>
        <v/>
      </c>
      <c r="G40" s="492"/>
      <c r="H40" s="490" t="str">
        <f>IF(C40="","",IF(ISERROR(SUMIF(Calculations!$BR$7:$BR$31,$B40,Calculations!$AR$7:$AR$31)),"",SUMIF(Calculations!$BR$7:$BR$31,$B40,Calculations!$AR$7:$AR$31)))</f>
        <v/>
      </c>
      <c r="I40" s="491" t="str">
        <f>IF(C40="","",IF(ISERROR(SUMIF(Calculations!$BR$7:$BR$31,$B40,Calculations!$BK$7:$BK$31)),"",SUMIF(Calculations!$BR$7:$BR$31,$B40,Calculations!$BK$7:$BK$31)))</f>
        <v/>
      </c>
      <c r="J40" s="491" t="str">
        <f>IF(C40="","",IF(ISERROR(SUMIF(Calculations!$BR$7:$BR$31,$B40,Calculations!$BI$7:$BI$31)),"",SUMIF(Calculations!$BR$7:$BR$31,$B40,Calculations!$BI$7:$BI$31)))</f>
        <v/>
      </c>
      <c r="K40" s="493" t="str">
        <f>IF($C40="","",IF(SUMIF(Calculations!$BR$7:$BR$31,$B40,Calculations!$BM$7:$BM$31)=0,"",SUMIF(Calculations!$BR$7:$BR$31,$B40,Calculations!$BM$7:$BM$31)))</f>
        <v/>
      </c>
    </row>
    <row r="41" spans="2:11" x14ac:dyDescent="0.3">
      <c r="B41" s="488" t="s">
        <v>505</v>
      </c>
      <c r="C41" s="489" t="str">
        <f>IF(SUMIF(Calculations!$BR$7:$BR$31,$B41,Calculations!$J$7:$J$31)=0,"",SUMIF(Calculations!$BR$7:$BR$31,$B41,Calculations!$J$7:$J$31))</f>
        <v/>
      </c>
      <c r="D41" s="490" t="str">
        <f t="shared" si="0"/>
        <v/>
      </c>
      <c r="E41" s="491" t="str">
        <f t="shared" si="1"/>
        <v/>
      </c>
      <c r="F41" s="491" t="str">
        <f t="shared" si="1"/>
        <v/>
      </c>
      <c r="G41" s="492"/>
      <c r="H41" s="490" t="str">
        <f>IF(C41="","",IF(ISERROR(SUMIF(Calculations!$BR$7:$BR$31,$B41,Calculations!$AR$7:$AR$31)),"",SUMIF(Calculations!$BR$7:$BR$31,$B41,Calculations!$AR$7:$AR$31)))</f>
        <v/>
      </c>
      <c r="I41" s="491" t="str">
        <f>IF(C41="","",IF(ISERROR(SUMIF(Calculations!$BR$7:$BR$31,$B41,Calculations!$BK$7:$BK$31)),"",SUMIF(Calculations!$BR$7:$BR$31,$B41,Calculations!$BK$7:$BK$31)))</f>
        <v/>
      </c>
      <c r="J41" s="491" t="str">
        <f>IF(C41="","",IF(ISERROR(SUMIF(Calculations!$BR$7:$BR$31,$B41,Calculations!$BI$7:$BI$31)),"",SUMIF(Calculations!$BR$7:$BR$31,$B41,Calculations!$BI$7:$BI$31)))</f>
        <v/>
      </c>
      <c r="K41" s="493" t="str">
        <f>IF($C41="","",IF(SUMIF(Calculations!$BR$7:$BR$31,$B41,Calculations!$BM$7:$BM$31)=0,"",SUMIF(Calculations!$BR$7:$BR$31,$B41,Calculations!$BM$7:$BM$31)))</f>
        <v/>
      </c>
    </row>
    <row r="42" spans="2:11" x14ac:dyDescent="0.3">
      <c r="B42" s="488" t="s">
        <v>934</v>
      </c>
      <c r="C42" s="489" t="str">
        <f>IF(SUMIF(Calculations!$BR$7:$BR$31,$B42,Calculations!$J$7:$J$31)=0,"",SUMIF(Calculations!$BR$7:$BR$31,$B42,Calculations!$J$7:$J$31))</f>
        <v/>
      </c>
      <c r="D42" s="490" t="str">
        <f>IF(H42="","",H42/C42)</f>
        <v/>
      </c>
      <c r="E42" s="491" t="str">
        <f t="shared" ref="E42:F45" si="2">IF(I42="","",I42/C42)</f>
        <v/>
      </c>
      <c r="F42" s="491" t="str">
        <f t="shared" si="2"/>
        <v/>
      </c>
      <c r="G42" s="492"/>
      <c r="H42" s="490" t="str">
        <f>IF(C42="","",IF(ISERROR(SUMIF(Calculations!$BR$7:$BR$31,$B42,Calculations!$AR$7:$AR$31)),"",SUMIF(Calculations!$BR$7:$BR$31,$B42,Calculations!$AR$7:$AR$31)))</f>
        <v/>
      </c>
      <c r="I42" s="491" t="str">
        <f>IF(C42="","",IF(ISERROR(SUMIF(Calculations!$BR$7:$BR$31,$B42,Calculations!$BK$7:$BK$31)),"",SUMIF(Calculations!$BR$7:$BR$31,$B42,Calculations!$BK$7:$BK$31)))</f>
        <v/>
      </c>
      <c r="J42" s="491" t="str">
        <f>IF(C42="","",IF(ISERROR(SUMIF(Calculations!$BR$7:$BR$31,$B42,Calculations!$BI$7:$BI$31)),"",SUMIF(Calculations!$BR$7:$BR$31,$B42,Calculations!$BI$7:$BI$31)))</f>
        <v/>
      </c>
      <c r="K42" s="493" t="str">
        <f>IF($C42="","",IF(SUMIF(Calculations!$BR$7:$BR$31,$B42,Calculations!$BM$7:$BM$31)=0,"",SUMIF(Calculations!$BR$7:$BR$31,$B42,Calculations!$BM$7:$BM$31)))</f>
        <v/>
      </c>
    </row>
    <row r="43" spans="2:11" x14ac:dyDescent="0.3">
      <c r="B43" s="488" t="s">
        <v>937</v>
      </c>
      <c r="C43" s="489" t="str">
        <f>IF(SUMIF(Calculations!$BR$7:$BR$31,$B43,Calculations!$J$7:$J$31)=0,"",SUMIF(Calculations!$BR$7:$BR$31,$B43,Calculations!$J$7:$J$31))</f>
        <v/>
      </c>
      <c r="D43" s="490" t="str">
        <f>IF(H43="","",H43/C43)</f>
        <v/>
      </c>
      <c r="E43" s="491" t="str">
        <f t="shared" si="2"/>
        <v/>
      </c>
      <c r="F43" s="491" t="str">
        <f t="shared" si="2"/>
        <v/>
      </c>
      <c r="G43" s="492"/>
      <c r="H43" s="490" t="str">
        <f>IF(C43="","",IF(ISERROR(SUMIF(Calculations!$BR$7:$BR$31,$B43,Calculations!$AR$7:$AR$31)),"",SUMIF(Calculations!$BR$7:$BR$31,$B43,Calculations!$AR$7:$AR$31)))</f>
        <v/>
      </c>
      <c r="I43" s="491" t="str">
        <f>IF(C43="","",IF(ISERROR(SUMIF(Calculations!$BR$7:$BR$31,$B43,Calculations!$BK$7:$BK$31)),"",SUMIF(Calculations!$BR$7:$BR$31,$B43,Calculations!$BK$7:$BK$31)))</f>
        <v/>
      </c>
      <c r="J43" s="491" t="str">
        <f>IF(C43="","",IF(ISERROR(SUMIF(Calculations!$BR$7:$BR$31,$B43,Calculations!$BI$7:$BI$31)),"",SUMIF(Calculations!$BR$7:$BR$31,$B43,Calculations!$BI$7:$BI$31)))</f>
        <v/>
      </c>
      <c r="K43" s="493" t="str">
        <f>IF($C43="","",IF(SUMIF(Calculations!$BR$7:$BR$31,$B43,Calculations!$BM$7:$BM$31)=0,"",SUMIF(Calculations!$BR$7:$BR$31,$B43,Calculations!$BM$7:$BM$31)))</f>
        <v/>
      </c>
    </row>
    <row r="44" spans="2:11" x14ac:dyDescent="0.3">
      <c r="B44" s="488" t="s">
        <v>939</v>
      </c>
      <c r="C44" s="489" t="str">
        <f>IF(SUMIF(Calculations!$BR$7:$BR$31,$B44,Calculations!$J$7:$J$31)=0,"",SUMIF(Calculations!$BR$7:$BR$31,$B44,Calculations!$J$7:$J$31))</f>
        <v/>
      </c>
      <c r="D44" s="490" t="str">
        <f>IF(H44="","",H44/C44)</f>
        <v/>
      </c>
      <c r="E44" s="491" t="str">
        <f t="shared" si="2"/>
        <v/>
      </c>
      <c r="F44" s="491" t="str">
        <f t="shared" si="2"/>
        <v/>
      </c>
      <c r="G44" s="492"/>
      <c r="H44" s="490" t="str">
        <f>IF(C44="","",IF(ISERROR(SUMIF(Calculations!$BR$7:$BR$31,$B44,Calculations!$AR$7:$AR$31)),"",SUMIF(Calculations!$BR$7:$BR$31,$B44,Calculations!$AR$7:$AR$31)))</f>
        <v/>
      </c>
      <c r="I44" s="491" t="str">
        <f>IF(C44="","",IF(ISERROR(SUMIF(Calculations!$BR$7:$BR$31,$B44,Calculations!$BK$7:$BK$31)),"",SUMIF(Calculations!$BR$7:$BR$31,$B44,Calculations!$BK$7:$BK$31)))</f>
        <v/>
      </c>
      <c r="J44" s="491" t="str">
        <f>IF(C44="","",IF(ISERROR(SUMIF(Calculations!$BR$7:$BR$31,$B44,Calculations!$BI$7:$BI$31)),"",SUMIF(Calculations!$BR$7:$BR$31,$B44,Calculations!$BI$7:$BI$31)))</f>
        <v/>
      </c>
      <c r="K44" s="493" t="str">
        <f>IF($C44="","",IF(SUMIF(Calculations!$BR$7:$BR$31,$B44,Calculations!$BM$7:$BM$31)=0,"",SUMIF(Calculations!$BR$7:$BR$31,$B44,Calculations!$BM$7:$BM$31)))</f>
        <v/>
      </c>
    </row>
    <row r="45" spans="2:11" x14ac:dyDescent="0.3">
      <c r="B45" s="488" t="s">
        <v>546</v>
      </c>
      <c r="C45" s="489" t="str">
        <f>IF(SUMIF(Calculations!$BR$7:$BR$31,$B45,Calculations!$J$7:$J$31)=0,"",SUMIF(Calculations!$BR$7:$BR$31,$B45,Calculations!$J$7:$J$31))</f>
        <v/>
      </c>
      <c r="D45" s="490" t="str">
        <f>IF(H45="","",H45/C45)</f>
        <v/>
      </c>
      <c r="E45" s="491" t="str">
        <f t="shared" si="2"/>
        <v/>
      </c>
      <c r="F45" s="491" t="str">
        <f t="shared" si="2"/>
        <v/>
      </c>
      <c r="G45" s="492"/>
      <c r="H45" s="490" t="str">
        <f>IF(C45="","",IF(ISERROR(SUMIF(Calculations!$BR$7:$BR$31,$B45,Calculations!$AR$7:$AR$31)),"",SUMIF(Calculations!$BR$7:$BR$31,$B45,Calculations!$AR$7:$AR$31)))</f>
        <v/>
      </c>
      <c r="I45" s="491" t="str">
        <f>IF(C45="","",IF(ISERROR(SUMIF(Calculations!$BR$7:$BR$31,$B45,Calculations!$BK$7:$BK$31)),"",SUMIF(Calculations!$BR$7:$BR$31,$B45,Calculations!$BK$7:$BK$31)))</f>
        <v/>
      </c>
      <c r="J45" s="491" t="str">
        <f>IF(C45="","",IF(ISERROR(SUMIF(Calculations!$BR$7:$BR$31,$B45,Calculations!$BI$7:$BI$31)),"",SUMIF(Calculations!$BR$7:$BR$31,$B45,Calculations!$BI$7:$BI$31)))</f>
        <v/>
      </c>
      <c r="K45" s="493" t="str">
        <f>IF($C45="","",IF(SUMIF(Calculations!$BR$7:$BR$31,$B45,Calculations!$BM$7:$BM$31)=0,"",SUMIF(Calculations!$BR$7:$BR$31,$B45,Calculations!$BM$7:$BM$31)))</f>
        <v/>
      </c>
    </row>
    <row r="46" spans="2:11" x14ac:dyDescent="0.3">
      <c r="B46" s="488" t="s">
        <v>547</v>
      </c>
      <c r="C46" s="489" t="str">
        <f>IF(SUMIF(Calculations!$BR$7:$BR$31,$B46,Calculations!$J$7:$J$31)=0,"",SUMIF(Calculations!$BR$7:$BR$31,$B46,Calculations!$J$7:$J$31))</f>
        <v/>
      </c>
      <c r="D46" s="490" t="str">
        <f t="shared" si="0"/>
        <v/>
      </c>
      <c r="E46" s="491" t="str">
        <f t="shared" si="1"/>
        <v/>
      </c>
      <c r="F46" s="491" t="str">
        <f t="shared" si="1"/>
        <v/>
      </c>
      <c r="G46" s="492"/>
      <c r="H46" s="490" t="str">
        <f>IF(C46="","",IF(ISERROR(SUMIF(Calculations!$BR$7:$BR$31,$B46,Calculations!$AR$7:$AR$31)),"",SUMIF(Calculations!$BR$7:$BR$31,$B46,Calculations!$AR$7:$AR$31)))</f>
        <v/>
      </c>
      <c r="I46" s="491" t="str">
        <f>IF(C46="","",IF(ISERROR(SUMIF(Calculations!$BR$7:$BR$31,$B46,Calculations!$BK$7:$BK$31)),"",SUMIF(Calculations!$BR$7:$BR$31,$B46,Calculations!$BK$7:$BK$31)))</f>
        <v/>
      </c>
      <c r="J46" s="491" t="str">
        <f>IF(C46="","",IF(ISERROR(SUMIF(Calculations!$BR$7:$BR$31,$B46,Calculations!$BI$7:$BI$31)),"",SUMIF(Calculations!$BR$7:$BR$31,$B46,Calculations!$BI$7:$BI$31)))</f>
        <v/>
      </c>
      <c r="K46" s="493" t="str">
        <f>IF($C46="","",IF(SUMIF(Calculations!$BR$7:$BR$31,$B46,Calculations!$BM$7:$BM$31)=0,"",SUMIF(Calculations!$BR$7:$BR$31,$B46,Calculations!$BM$7:$BM$31)))</f>
        <v/>
      </c>
    </row>
    <row r="47" spans="2:11" x14ac:dyDescent="0.3">
      <c r="B47" s="488" t="s">
        <v>550</v>
      </c>
      <c r="C47" s="489" t="str">
        <f>IF(SUMIF(Calculations!$BR$7:$BR$31,$B47,Calculations!$J$7:$J$31)=0,"",SUMIF(Calculations!$BR$7:$BR$31,$B47,Calculations!$J$7:$J$31))</f>
        <v/>
      </c>
      <c r="D47" s="490" t="str">
        <f t="shared" si="0"/>
        <v/>
      </c>
      <c r="E47" s="491" t="str">
        <f t="shared" si="1"/>
        <v/>
      </c>
      <c r="F47" s="491" t="str">
        <f t="shared" si="1"/>
        <v/>
      </c>
      <c r="G47" s="492"/>
      <c r="H47" s="490" t="str">
        <f>IF(C47="","",IF(ISERROR(SUMIF(Calculations!$BR$7:$BR$31,$B47,Calculations!$AR$7:$AR$31)),"",SUMIF(Calculations!$BR$7:$BR$31,$B47,Calculations!$AR$7:$AR$31)))</f>
        <v/>
      </c>
      <c r="I47" s="491" t="str">
        <f>IF(C47="","",IF(ISERROR(SUMIF(Calculations!$BR$7:$BR$31,$B47,Calculations!$BK$7:$BK$31)),"",SUMIF(Calculations!$BR$7:$BR$31,$B47,Calculations!$BK$7:$BK$31)))</f>
        <v/>
      </c>
      <c r="J47" s="491" t="str">
        <f>IF(C47="","",IF(ISERROR(SUMIF(Calculations!$BR$7:$BR$31,$B47,Calculations!$BI$7:$BI$31)),"",SUMIF(Calculations!$BR$7:$BR$31,$B47,Calculations!$BI$7:$BI$31)))</f>
        <v/>
      </c>
      <c r="K47" s="493" t="str">
        <f>IF($C47="","",IF(SUMIF(Calculations!$BR$7:$BR$31,$B47,Calculations!$BM$7:$BM$31)=0,"",SUMIF(Calculations!$BR$7:$BR$31,$B47,Calculations!$BM$7:$BM$31)))</f>
        <v/>
      </c>
    </row>
    <row r="48" spans="2:11" x14ac:dyDescent="0.3">
      <c r="B48" s="488" t="s">
        <v>548</v>
      </c>
      <c r="C48" s="489" t="str">
        <f>IF(SUMIF(Calculations!$BR$7:$BR$31,$B48,Calculations!$J$7:$J$31)=0,"",SUMIF(Calculations!$BR$7:$BR$31,$B48,Calculations!$J$7:$J$31))</f>
        <v/>
      </c>
      <c r="D48" s="490" t="str">
        <f t="shared" si="0"/>
        <v/>
      </c>
      <c r="E48" s="491" t="str">
        <f t="shared" si="1"/>
        <v/>
      </c>
      <c r="F48" s="491" t="str">
        <f t="shared" si="1"/>
        <v/>
      </c>
      <c r="G48" s="492"/>
      <c r="H48" s="490" t="str">
        <f>IF(C48="","",IF(ISERROR(SUMIF(Calculations!$BR$7:$BR$31,$B48,Calculations!$AR$7:$AR$31)),"",SUMIF(Calculations!$BR$7:$BR$31,$B48,Calculations!$AR$7:$AR$31)))</f>
        <v/>
      </c>
      <c r="I48" s="491" t="str">
        <f>IF(C48="","",IF(ISERROR(SUMIF(Calculations!$BR$7:$BR$31,$B48,Calculations!$BK$7:$BK$31)),"",SUMIF(Calculations!$BR$7:$BR$31,$B48,Calculations!$BK$7:$BK$31)))</f>
        <v/>
      </c>
      <c r="J48" s="491" t="str">
        <f>IF(C48="","",IF(ISERROR(SUMIF(Calculations!$BR$7:$BR$31,$B48,Calculations!$BI$7:$BI$31)),"",SUMIF(Calculations!$BR$7:$BR$31,$B48,Calculations!$BI$7:$BI$31)))</f>
        <v/>
      </c>
      <c r="K48" s="493" t="str">
        <f>IF($C48="","",IF(SUMIF(Calculations!$BR$7:$BR$31,$B48,Calculations!$BM$7:$BM$31)=0,"",SUMIF(Calculations!$BR$7:$BR$31,$B48,Calculations!$BM$7:$BM$31)))</f>
        <v/>
      </c>
    </row>
    <row r="49" spans="2:11" x14ac:dyDescent="0.3">
      <c r="B49" s="488" t="s">
        <v>549</v>
      </c>
      <c r="C49" s="489" t="str">
        <f>IF(SUMIF(Calculations!$BR$7:$BR$31,$B49,Calculations!$J$7:$J$31)=0,"",SUMIF(Calculations!$BR$7:$BR$31,$B49,Calculations!$J$7:$J$31))</f>
        <v/>
      </c>
      <c r="D49" s="490" t="str">
        <f t="shared" si="0"/>
        <v/>
      </c>
      <c r="E49" s="491" t="str">
        <f t="shared" si="1"/>
        <v/>
      </c>
      <c r="F49" s="491" t="str">
        <f t="shared" si="1"/>
        <v/>
      </c>
      <c r="G49" s="492"/>
      <c r="H49" s="490" t="str">
        <f>IF(C49="","",IF(ISERROR(SUMIF(Calculations!$BR$7:$BR$31,$B49,Calculations!$AR$7:$AR$31)),"",SUMIF(Calculations!$BR$7:$BR$31,$B49,Calculations!$AR$7:$AR$31)))</f>
        <v/>
      </c>
      <c r="I49" s="491" t="str">
        <f>IF(C49="","",IF(ISERROR(SUMIF(Calculations!$BR$7:$BR$31,$B49,Calculations!$BK$7:$BK$31)),"",SUMIF(Calculations!$BR$7:$BR$31,$B49,Calculations!$BK$7:$BK$31)))</f>
        <v/>
      </c>
      <c r="J49" s="491" t="str">
        <f>IF(C49="","",IF(ISERROR(SUMIF(Calculations!$BR$7:$BR$31,$B49,Calculations!$BI$7:$BI$31)),"",SUMIF(Calculations!$BR$7:$BR$31,$B49,Calculations!$BI$7:$BI$31)))</f>
        <v/>
      </c>
      <c r="K49" s="493" t="str">
        <f>IF($C49="","",IF(SUMIF(Calculations!$BR$7:$BR$31,$B49,Calculations!$BM$7:$BM$31)=0,"",SUMIF(Calculations!$BR$7:$BR$31,$B49,Calculations!$BM$7:$BM$31)))</f>
        <v/>
      </c>
    </row>
    <row r="50" spans="2:11" x14ac:dyDescent="0.3">
      <c r="B50" s="488" t="s">
        <v>551</v>
      </c>
      <c r="C50" s="489" t="str">
        <f>IF(SUMIF(Calculations!$BR$7:$BR$31,$B50,Calculations!$J$7:$J$31)=0,"",SUMIF(Calculations!$BR$7:$BR$31,$B50,Calculations!$J$7:$J$31))</f>
        <v/>
      </c>
      <c r="D50" s="490" t="str">
        <f t="shared" si="0"/>
        <v/>
      </c>
      <c r="E50" s="491" t="str">
        <f t="shared" si="1"/>
        <v/>
      </c>
      <c r="F50" s="491" t="str">
        <f t="shared" si="1"/>
        <v/>
      </c>
      <c r="G50" s="492"/>
      <c r="H50" s="490" t="str">
        <f>IF(C50="","",IF(ISERROR(SUMIF(Calculations!$BR$7:$BR$31,$B50,Calculations!$AR$7:$AR$31)),"",SUMIF(Calculations!$BR$7:$BR$31,$B50,Calculations!$AR$7:$AR$31)))</f>
        <v/>
      </c>
      <c r="I50" s="491" t="str">
        <f>IF(C50="","",IF(ISERROR(SUMIF(Calculations!$BR$7:$BR$31,$B50,Calculations!$BK$7:$BK$31)),"",SUMIF(Calculations!$BR$7:$BR$31,$B50,Calculations!$BK$7:$BK$31)))</f>
        <v/>
      </c>
      <c r="J50" s="491" t="str">
        <f>IF(C50="","",IF(ISERROR(SUMIF(Calculations!$BR$7:$BR$31,$B50,Calculations!$BI$7:$BI$31)),"",SUMIF(Calculations!$BR$7:$BR$31,$B50,Calculations!$BI$7:$BI$31)))</f>
        <v/>
      </c>
      <c r="K50" s="493" t="str">
        <f>IF($C50="","",IF(SUMIF(Calculations!$BR$7:$BR$31,$B50,Calculations!$BM$7:$BM$31)=0,"",SUMIF(Calculations!$BR$7:$BR$31,$B50,Calculations!$BM$7:$BM$31)))</f>
        <v/>
      </c>
    </row>
    <row r="51" spans="2:11" x14ac:dyDescent="0.3">
      <c r="B51" s="488" t="s">
        <v>553</v>
      </c>
      <c r="C51" s="489" t="str">
        <f>IF(SUMIF(Calculations!$BR$7:$BR$31,$B51,Calculations!$J$7:$J$31)=0,"",SUMIF(Calculations!$BR$7:$BR$31,$B51,Calculations!$J$7:$J$31))</f>
        <v/>
      </c>
      <c r="D51" s="490" t="str">
        <f t="shared" si="0"/>
        <v/>
      </c>
      <c r="E51" s="491" t="str">
        <f t="shared" si="1"/>
        <v/>
      </c>
      <c r="F51" s="491" t="str">
        <f t="shared" si="1"/>
        <v/>
      </c>
      <c r="G51" s="492"/>
      <c r="H51" s="490" t="str">
        <f>IF(C51="","",IF(ISERROR(SUMIF(Calculations!$BR$7:$BR$31,$B51,Calculations!$AR$7:$AR$31)),"",SUMIF(Calculations!$BR$7:$BR$31,$B51,Calculations!$AR$7:$AR$31)))</f>
        <v/>
      </c>
      <c r="I51" s="491" t="str">
        <f>IF(C51="","",IF(ISERROR(SUMIF(Calculations!$BR$7:$BR$31,$B51,Calculations!$BK$7:$BK$31)),"",SUMIF(Calculations!$BR$7:$BR$31,$B51,Calculations!$BK$7:$BK$31)))</f>
        <v/>
      </c>
      <c r="J51" s="491" t="str">
        <f>IF(C51="","",IF(ISERROR(SUMIF(Calculations!$BR$7:$BR$31,$B51,Calculations!$BI$7:$BI$31)),"",SUMIF(Calculations!$BR$7:$BR$31,$B51,Calculations!$BI$7:$BI$31)))</f>
        <v/>
      </c>
      <c r="K51" s="493" t="str">
        <f>IF($C51="","",IF(SUMIF(Calculations!$BR$7:$BR$31,$B51,Calculations!$BM$7:$BM$31)=0,"",SUMIF(Calculations!$BR$7:$BR$31,$B51,Calculations!$BM$7:$BM$31)))</f>
        <v/>
      </c>
    </row>
    <row r="52" spans="2:11" x14ac:dyDescent="0.3">
      <c r="B52" s="488" t="s">
        <v>558</v>
      </c>
      <c r="C52" s="489" t="str">
        <f>IF(SUMIF(Calculations!$BR$7:$BR$31,$B52,Calculations!$J$7:$J$31)=0,"",SUMIF(Calculations!$BR$7:$BR$31,$B52,Calculations!$J$7:$J$31))</f>
        <v/>
      </c>
      <c r="D52" s="490" t="str">
        <f t="shared" si="0"/>
        <v/>
      </c>
      <c r="E52" s="491" t="str">
        <f t="shared" si="1"/>
        <v/>
      </c>
      <c r="F52" s="491" t="str">
        <f t="shared" si="1"/>
        <v/>
      </c>
      <c r="G52" s="492"/>
      <c r="H52" s="490" t="str">
        <f>IF(C52="","",IF(ISERROR(SUMIF(Calculations!$BR$7:$BR$31,$B52,Calculations!$AR$7:$AR$31)),"",SUMIF(Calculations!$BR$7:$BR$31,$B52,Calculations!$AR$7:$AR$31)))</f>
        <v/>
      </c>
      <c r="I52" s="491" t="str">
        <f>IF(C52="","",IF(ISERROR(SUMIF(Calculations!$BR$7:$BR$31,$B52,Calculations!$BK$7:$BK$31)),"",SUMIF(Calculations!$BR$7:$BR$31,$B52,Calculations!$BK$7:$BK$31)))</f>
        <v/>
      </c>
      <c r="J52" s="491" t="str">
        <f>IF(C52="","",IF(ISERROR(SUMIF(Calculations!$BR$7:$BR$31,$B52,Calculations!$BI$7:$BI$31)),"",SUMIF(Calculations!$BR$7:$BR$31,$B52,Calculations!$BI$7:$BI$31)))</f>
        <v/>
      </c>
      <c r="K52" s="493" t="str">
        <f>IF($C52="","",IF(SUMIF(Calculations!$BR$7:$BR$31,$B52,Calculations!$BM$7:$BM$31)=0,"",SUMIF(Calculations!$BR$7:$BR$31,$B52,Calculations!$BM$7:$BM$31)))</f>
        <v/>
      </c>
    </row>
    <row r="53" spans="2:11" x14ac:dyDescent="0.3">
      <c r="B53" s="488" t="s">
        <v>559</v>
      </c>
      <c r="C53" s="489" t="str">
        <f>IF(SUMIF(Calculations!$BR$7:$BR$31,$B53,Calculations!$J$7:$J$31)=0,"",SUMIF(Calculations!$BR$7:$BR$31,$B53,Calculations!$J$7:$J$31))</f>
        <v/>
      </c>
      <c r="D53" s="490" t="str">
        <f t="shared" si="0"/>
        <v/>
      </c>
      <c r="E53" s="491" t="str">
        <f t="shared" si="1"/>
        <v/>
      </c>
      <c r="F53" s="491" t="str">
        <f t="shared" si="1"/>
        <v/>
      </c>
      <c r="G53" s="492"/>
      <c r="H53" s="490" t="str">
        <f>IF(C53="","",IF(ISERROR(SUMIF(Calculations!$BR$7:$BR$31,$B53,Calculations!$AR$7:$AR$31)),"",SUMIF(Calculations!$BR$7:$BR$31,$B53,Calculations!$AR$7:$AR$31)))</f>
        <v/>
      </c>
      <c r="I53" s="491" t="str">
        <f>IF(C53="","",IF(ISERROR(SUMIF(Calculations!$BR$7:$BR$31,$B53,Calculations!$BK$7:$BK$31)),"",SUMIF(Calculations!$BR$7:$BR$31,$B53,Calculations!$BK$7:$BK$31)))</f>
        <v/>
      </c>
      <c r="J53" s="491" t="str">
        <f>IF(C53="","",IF(ISERROR(SUMIF(Calculations!$BR$7:$BR$31,$B53,Calculations!$BI$7:$BI$31)),"",SUMIF(Calculations!$BR$7:$BR$31,$B53,Calculations!$BI$7:$BI$31)))</f>
        <v/>
      </c>
      <c r="K53" s="493" t="str">
        <f>IF($C53="","",IF(SUMIF(Calculations!$BR$7:$BR$31,$B53,Calculations!$BM$7:$BM$31)=0,"",SUMIF(Calculations!$BR$7:$BR$31,$B53,Calculations!$BM$7:$BM$31)))</f>
        <v/>
      </c>
    </row>
    <row r="54" spans="2:11" x14ac:dyDescent="0.3">
      <c r="B54" s="488" t="s">
        <v>888</v>
      </c>
      <c r="C54" s="489" t="str">
        <f>IF(SUMIF(Calculations!$BR$7:$BR$31,$B54,Calculations!$J$7:$J$31)=0,"",SUMIF(Calculations!$BR$7:$BR$31,$B54,Calculations!$J$7:$J$31))</f>
        <v/>
      </c>
      <c r="D54" s="490" t="str">
        <f t="shared" ref="D54:D59" si="3">IF(H54="","",H54/C54)</f>
        <v/>
      </c>
      <c r="E54" s="491" t="str">
        <f t="shared" ref="E54:F59" si="4">IF(I54="","",I54/C54)</f>
        <v/>
      </c>
      <c r="F54" s="491" t="str">
        <f t="shared" si="4"/>
        <v/>
      </c>
      <c r="G54" s="492"/>
      <c r="H54" s="490" t="str">
        <f>IF(C54="","",IF(ISERROR(SUMIF(Calculations!$BR$7:$BR$31,$B54,Calculations!$AR$7:$AR$31)),"",SUMIF(Calculations!$BR$7:$BR$31,$B54,Calculations!$AR$7:$AR$31)))</f>
        <v/>
      </c>
      <c r="I54" s="491" t="str">
        <f>IF(C54="","",IF(ISERROR(SUMIF(Calculations!$BR$7:$BR$31,$B54,Calculations!$BK$7:$BK$31)),"",SUMIF(Calculations!$BR$7:$BR$31,$B54,Calculations!$BK$7:$BK$31)))</f>
        <v/>
      </c>
      <c r="J54" s="491" t="str">
        <f>IF(C54="","",IF(ISERROR(SUMIF(Calculations!$BR$7:$BR$31,$B54,Calculations!$BI$7:$BI$31)),"",SUMIF(Calculations!$BR$7:$BR$31,$B54,Calculations!$BI$7:$BI$31)))</f>
        <v/>
      </c>
      <c r="K54" s="493" t="str">
        <f>IF($C54="","",IF(SUMIF(Calculations!$BR$7:$BR$31,$B54,Calculations!$BM$7:$BM$31)=0,"",SUMIF(Calculations!$BR$7:$BR$31,$B54,Calculations!$BM$7:$BM$31)))</f>
        <v/>
      </c>
    </row>
    <row r="55" spans="2:11" x14ac:dyDescent="0.3">
      <c r="B55" s="488" t="s">
        <v>889</v>
      </c>
      <c r="C55" s="489" t="str">
        <f>IF(SUMIF(Calculations!$BR$7:$BR$31,$B55,Calculations!$J$7:$J$31)=0,"",SUMIF(Calculations!$BR$7:$BR$31,$B55,Calculations!$J$7:$J$31))</f>
        <v/>
      </c>
      <c r="D55" s="490" t="str">
        <f t="shared" si="3"/>
        <v/>
      </c>
      <c r="E55" s="491" t="str">
        <f t="shared" si="4"/>
        <v/>
      </c>
      <c r="F55" s="491" t="str">
        <f t="shared" si="4"/>
        <v/>
      </c>
      <c r="G55" s="492"/>
      <c r="H55" s="490" t="str">
        <f>IF(C55="","",IF(ISERROR(SUMIF(Calculations!$BR$7:$BR$31,$B55,Calculations!$AR$7:$AR$31)),"",SUMIF(Calculations!$BR$7:$BR$31,$B55,Calculations!$AR$7:$AR$31)))</f>
        <v/>
      </c>
      <c r="I55" s="491" t="str">
        <f>IF(C55="","",IF(ISERROR(SUMIF(Calculations!$BR$7:$BR$31,$B55,Calculations!$BK$7:$BK$31)),"",SUMIF(Calculations!$BR$7:$BR$31,$B55,Calculations!$BK$7:$BK$31)))</f>
        <v/>
      </c>
      <c r="J55" s="491" t="str">
        <f>IF(C55="","",IF(ISERROR(SUMIF(Calculations!$BR$7:$BR$31,$B55,Calculations!$BI$7:$BI$31)),"",SUMIF(Calculations!$BR$7:$BR$31,$B55,Calculations!$BI$7:$BI$31)))</f>
        <v/>
      </c>
      <c r="K55" s="493" t="str">
        <f>IF($C55="","",IF(SUMIF(Calculations!$BR$7:$BR$31,$B55,Calculations!$BM$7:$BM$31)=0,"",SUMIF(Calculations!$BR$7:$BR$31,$B55,Calculations!$BM$7:$BM$31)))</f>
        <v/>
      </c>
    </row>
    <row r="56" spans="2:11" x14ac:dyDescent="0.3">
      <c r="B56" s="488" t="s">
        <v>890</v>
      </c>
      <c r="C56" s="489" t="str">
        <f>IF(SUMIF(Calculations!$BR$7:$BR$31,$B56,Calculations!$J$7:$J$31)=0,"",SUMIF(Calculations!$BR$7:$BR$31,$B56,Calculations!$J$7:$J$31))</f>
        <v/>
      </c>
      <c r="D56" s="490" t="str">
        <f t="shared" si="3"/>
        <v/>
      </c>
      <c r="E56" s="491" t="str">
        <f t="shared" si="4"/>
        <v/>
      </c>
      <c r="F56" s="491" t="str">
        <f t="shared" si="4"/>
        <v/>
      </c>
      <c r="G56" s="492"/>
      <c r="H56" s="490" t="str">
        <f>IF(C56="","",IF(ISERROR(SUMIF(Calculations!$BR$7:$BR$31,$B56,Calculations!$AR$7:$AR$31)),"",SUMIF(Calculations!$BR$7:$BR$31,$B56,Calculations!$AR$7:$AR$31)))</f>
        <v/>
      </c>
      <c r="I56" s="491" t="str">
        <f>IF(C56="","",IF(ISERROR(SUMIF(Calculations!$BR$7:$BR$31,$B56,Calculations!$BK$7:$BK$31)),"",SUMIF(Calculations!$BR$7:$BR$31,$B56,Calculations!$BK$7:$BK$31)))</f>
        <v/>
      </c>
      <c r="J56" s="491" t="str">
        <f>IF(C56="","",IF(ISERROR(SUMIF(Calculations!$BR$7:$BR$31,$B56,Calculations!$BI$7:$BI$31)),"",SUMIF(Calculations!$BR$7:$BR$31,$B56,Calculations!$BI$7:$BI$31)))</f>
        <v/>
      </c>
      <c r="K56" s="493" t="str">
        <f>IF($C56="","",IF(SUMIF(Calculations!$BR$7:$BR$31,$B56,Calculations!$BM$7:$BM$31)=0,"",SUMIF(Calculations!$BR$7:$BR$31,$B56,Calculations!$BM$7:$BM$31)))</f>
        <v/>
      </c>
    </row>
    <row r="57" spans="2:11" x14ac:dyDescent="0.3">
      <c r="B57" s="488" t="s">
        <v>891</v>
      </c>
      <c r="C57" s="489" t="str">
        <f>IF(SUMIF(Calculations!$BR$7:$BR$31,$B57,Calculations!$J$7:$J$31)=0,"",SUMIF(Calculations!$BR$7:$BR$31,$B57,Calculations!$J$7:$J$31))</f>
        <v/>
      </c>
      <c r="D57" s="490" t="str">
        <f t="shared" si="3"/>
        <v/>
      </c>
      <c r="E57" s="491" t="str">
        <f t="shared" si="4"/>
        <v/>
      </c>
      <c r="F57" s="491" t="str">
        <f t="shared" si="4"/>
        <v/>
      </c>
      <c r="G57" s="492"/>
      <c r="H57" s="490" t="str">
        <f>IF(C57="","",IF(ISERROR(SUMIF(Calculations!$BR$7:$BR$31,$B57,Calculations!$AR$7:$AR$31)),"",SUMIF(Calculations!$BR$7:$BR$31,$B57,Calculations!$AR$7:$AR$31)))</f>
        <v/>
      </c>
      <c r="I57" s="491" t="str">
        <f>IF(C57="","",IF(ISERROR(SUMIF(Calculations!$BR$7:$BR$31,$B57,Calculations!$BK$7:$BK$31)),"",SUMIF(Calculations!$BR$7:$BR$31,$B57,Calculations!$BK$7:$BK$31)))</f>
        <v/>
      </c>
      <c r="J57" s="491" t="str">
        <f>IF(C57="","",IF(ISERROR(SUMIF(Calculations!$BR$7:$BR$31,$B57,Calculations!$BI$7:$BI$31)),"",SUMIF(Calculations!$BR$7:$BR$31,$B57,Calculations!$BI$7:$BI$31)))</f>
        <v/>
      </c>
      <c r="K57" s="493" t="str">
        <f>IF($C57="","",IF(SUMIF(Calculations!$BR$7:$BR$31,$B57,Calculations!$BM$7:$BM$31)=0,"",SUMIF(Calculations!$BR$7:$BR$31,$B57,Calculations!$BM$7:$BM$31)))</f>
        <v/>
      </c>
    </row>
    <row r="58" spans="2:11" x14ac:dyDescent="0.3">
      <c r="B58" s="488" t="s">
        <v>892</v>
      </c>
      <c r="C58" s="489" t="str">
        <f>IF(SUMIF(Calculations!$BR$7:$BR$31,$B58,Calculations!$J$7:$J$31)=0,"",SUMIF(Calculations!$BR$7:$BR$31,$B58,Calculations!$J$7:$J$31))</f>
        <v/>
      </c>
      <c r="D58" s="490" t="str">
        <f t="shared" si="3"/>
        <v/>
      </c>
      <c r="E58" s="491" t="str">
        <f t="shared" si="4"/>
        <v/>
      </c>
      <c r="F58" s="491" t="str">
        <f t="shared" si="4"/>
        <v/>
      </c>
      <c r="G58" s="492"/>
      <c r="H58" s="490" t="str">
        <f>IF(C58="","",IF(ISERROR(SUMIF(Calculations!$BR$7:$BR$31,$B58,Calculations!$AR$7:$AR$31)),"",SUMIF(Calculations!$BR$7:$BR$31,$B58,Calculations!$AR$7:$AR$31)))</f>
        <v/>
      </c>
      <c r="I58" s="491" t="str">
        <f>IF(C58="","",IF(ISERROR(SUMIF(Calculations!$BR$7:$BR$31,$B58,Calculations!$BK$7:$BK$31)),"",SUMIF(Calculations!$BR$7:$BR$31,$B58,Calculations!$BK$7:$BK$31)))</f>
        <v/>
      </c>
      <c r="J58" s="491" t="str">
        <f>IF(C58="","",IF(ISERROR(SUMIF(Calculations!$BR$7:$BR$31,$B58,Calculations!$BI$7:$BI$31)),"",SUMIF(Calculations!$BR$7:$BR$31,$B58,Calculations!$BI$7:$BI$31)))</f>
        <v/>
      </c>
      <c r="K58" s="493" t="str">
        <f>IF($C58="","",IF(SUMIF(Calculations!$BR$7:$BR$31,$B58,Calculations!$BM$7:$BM$31)=0,"",SUMIF(Calculations!$BR$7:$BR$31,$B58,Calculations!$BM$7:$BM$31)))</f>
        <v/>
      </c>
    </row>
    <row r="59" spans="2:11" x14ac:dyDescent="0.3">
      <c r="B59" s="488" t="s">
        <v>893</v>
      </c>
      <c r="C59" s="489" t="str">
        <f>IF(SUMIF(Calculations!$BR$7:$BR$31,$B59,Calculations!$J$7:$J$31)=0,"",SUMIF(Calculations!$BR$7:$BR$31,$B59,Calculations!$J$7:$J$31))</f>
        <v/>
      </c>
      <c r="D59" s="490" t="str">
        <f t="shared" si="3"/>
        <v/>
      </c>
      <c r="E59" s="491" t="str">
        <f t="shared" si="4"/>
        <v/>
      </c>
      <c r="F59" s="491" t="str">
        <f t="shared" si="4"/>
        <v/>
      </c>
      <c r="G59" s="492"/>
      <c r="H59" s="490" t="str">
        <f>IF(C59="","",IF(ISERROR(SUMIF(Calculations!$BR$7:$BR$31,$B59,Calculations!$AR$7:$AR$31)),"",SUMIF(Calculations!$BR$7:$BR$31,$B59,Calculations!$AR$7:$AR$31)))</f>
        <v/>
      </c>
      <c r="I59" s="491" t="str">
        <f>IF(C59="","",IF(ISERROR(SUMIF(Calculations!$BR$7:$BR$31,$B59,Calculations!$BK$7:$BK$31)),"",SUMIF(Calculations!$BR$7:$BR$31,$B59,Calculations!$BK$7:$BK$31)))</f>
        <v/>
      </c>
      <c r="J59" s="491" t="str">
        <f>IF(C59="","",IF(ISERROR(SUMIF(Calculations!$BR$7:$BR$31,$B59,Calculations!$BI$7:$BI$31)),"",SUMIF(Calculations!$BR$7:$BR$31,$B59,Calculations!$BI$7:$BI$31)))</f>
        <v/>
      </c>
      <c r="K59" s="493" t="str">
        <f>IF($C59="","",IF(SUMIF(Calculations!$BR$7:$BR$31,$B59,Calculations!$BM$7:$BM$31)=0,"",SUMIF(Calculations!$BR$7:$BR$31,$B59,Calculations!$BM$7:$BM$31)))</f>
        <v/>
      </c>
    </row>
    <row r="60" spans="2:11" x14ac:dyDescent="0.3">
      <c r="B60" s="488" t="s">
        <v>516</v>
      </c>
      <c r="C60" s="489" t="str">
        <f>IF(SUMIF(Calculations!$BR$7:$BR$31,$B60,Calculations!$J$7:$J$31)=0,"",SUMIF(Calculations!$BR$7:$BR$31,$B60,Calculations!$J$7:$J$31))</f>
        <v/>
      </c>
      <c r="D60" s="490" t="str">
        <f t="shared" si="0"/>
        <v/>
      </c>
      <c r="E60" s="491" t="str">
        <f t="shared" si="1"/>
        <v/>
      </c>
      <c r="F60" s="491" t="str">
        <f t="shared" si="1"/>
        <v/>
      </c>
      <c r="G60" s="492"/>
      <c r="H60" s="490" t="str">
        <f>IF(C60="","",IF(ISERROR(SUMIF(Calculations!$BR$7:$BR$31,$B60,Calculations!$AR$7:$AR$31)),"",SUMIF(Calculations!$BR$7:$BR$31,$B60,Calculations!$AR$7:$AR$31)))</f>
        <v/>
      </c>
      <c r="I60" s="491" t="str">
        <f>IF(C60="","",IF(ISERROR(SUMIF(Calculations!$BR$7:$BR$31,$B60,Calculations!$BK$7:$BK$31)),"",SUMIF(Calculations!$BR$7:$BR$31,$B60,Calculations!$BK$7:$BK$31)))</f>
        <v/>
      </c>
      <c r="J60" s="491" t="str">
        <f>IF(C60="","",IF(ISERROR(SUMIF(Calculations!$BR$7:$BR$31,$B60,Calculations!$BI$7:$BI$31)),"",SUMIF(Calculations!$BR$7:$BR$31,$B60,Calculations!$BI$7:$BI$31)))</f>
        <v/>
      </c>
      <c r="K60" s="493" t="str">
        <f>IF($C60="","",IF(SUMIF(Calculations!$BR$7:$BR$31,$B60,Calculations!$BM$7:$BM$31)=0,"",SUMIF(Calculations!$BR$7:$BR$31,$B60,Calculations!$BM$7:$BM$31)))</f>
        <v/>
      </c>
    </row>
    <row r="61" spans="2:11" x14ac:dyDescent="0.3">
      <c r="B61" s="488" t="s">
        <v>413</v>
      </c>
      <c r="C61" s="489" t="str">
        <f>IF(SUMIF(Calculations!$BR$7:$BR$31,$B61,Calculations!$J$7:$J$31)=0,"",SUMIF(Calculations!$BR$7:$BR$31,$B61,Calculations!$J$7:$J$31))</f>
        <v/>
      </c>
      <c r="D61" s="490" t="str">
        <f t="shared" si="0"/>
        <v/>
      </c>
      <c r="E61" s="491" t="str">
        <f t="shared" si="1"/>
        <v/>
      </c>
      <c r="F61" s="491" t="str">
        <f t="shared" si="1"/>
        <v/>
      </c>
      <c r="G61" s="492"/>
      <c r="H61" s="490" t="str">
        <f>IF(C61="","",IF(ISERROR(SUMIF(Calculations!$BR$7:$BR$31,$B61,Calculations!$AR$7:$AR$31)),"",SUMIF(Calculations!$BR$7:$BR$31,$B61,Calculations!$AR$7:$AR$31)))</f>
        <v/>
      </c>
      <c r="I61" s="491" t="str">
        <f>IF(C61="","",IF(ISERROR(SUMIF(Calculations!$BR$7:$BR$31,$B61,Calculations!$BK$7:$BK$31)),"",SUMIF(Calculations!$BR$7:$BR$31,$B61,Calculations!$BK$7:$BK$31)))</f>
        <v/>
      </c>
      <c r="J61" s="491" t="str">
        <f>IF(C61="","",IF(ISERROR(SUMIF(Calculations!$BR$7:$BR$31,$B61,Calculations!$BI$7:$BI$31)),"",SUMIF(Calculations!$BR$7:$BR$31,$B61,Calculations!$BI$7:$BI$31)))</f>
        <v/>
      </c>
      <c r="K61" s="493" t="str">
        <f>IF($C61="","",IF(SUMIF(Calculations!$BR$7:$BR$31,$B61,Calculations!$BM$7:$BM$31)=0,"",SUMIF(Calculations!$BR$7:$BR$31,$B61,Calculations!$BM$7:$BM$31)))</f>
        <v/>
      </c>
    </row>
    <row r="62" spans="2:11" x14ac:dyDescent="0.3">
      <c r="B62" s="488" t="s">
        <v>414</v>
      </c>
      <c r="C62" s="489" t="str">
        <f>IF(SUMIF(Calculations!$BR$7:$BR$31,$B62,Calculations!$J$7:$J$31)=0,"",SUMIF(Calculations!$BR$7:$BR$31,$B62,Calculations!$J$7:$J$31))</f>
        <v/>
      </c>
      <c r="D62" s="490" t="str">
        <f t="shared" si="0"/>
        <v/>
      </c>
      <c r="E62" s="491" t="str">
        <f t="shared" si="1"/>
        <v/>
      </c>
      <c r="F62" s="491" t="str">
        <f t="shared" si="1"/>
        <v/>
      </c>
      <c r="G62" s="492"/>
      <c r="H62" s="490" t="str">
        <f>IF(C62="","",IF(ISERROR(SUMIF(Calculations!$BR$7:$BR$31,$B62,Calculations!$AR$7:$AR$31)),"",SUMIF(Calculations!$BR$7:$BR$31,$B62,Calculations!$AR$7:$AR$31)))</f>
        <v/>
      </c>
      <c r="I62" s="491" t="str">
        <f>IF(C62="","",IF(ISERROR(SUMIF(Calculations!$BR$7:$BR$31,$B62,Calculations!$BK$7:$BK$31)),"",SUMIF(Calculations!$BR$7:$BR$31,$B62,Calculations!$BK$7:$BK$31)))</f>
        <v/>
      </c>
      <c r="J62" s="491" t="str">
        <f>IF(C62="","",IF(ISERROR(SUMIF(Calculations!$BR$7:$BR$31,$B62,Calculations!$BI$7:$BI$31)),"",SUMIF(Calculations!$BR$7:$BR$31,$B62,Calculations!$BI$7:$BI$31)))</f>
        <v/>
      </c>
      <c r="K62" s="493" t="str">
        <f>IF($C62="","",IF(SUMIF(Calculations!$BR$7:$BR$31,$B62,Calculations!$BM$7:$BM$31)=0,"",SUMIF(Calculations!$BR$7:$BR$31,$B62,Calculations!$BM$7:$BM$31)))</f>
        <v/>
      </c>
    </row>
    <row r="63" spans="2:11" x14ac:dyDescent="0.3">
      <c r="B63" s="488" t="s">
        <v>517</v>
      </c>
      <c r="C63" s="489" t="str">
        <f>IF(SUMIF(Calculations!$BR$7:$BR$31,$B63,Calculations!$J$7:$J$31)=0,"",SUMIF(Calculations!$BR$7:$BR$31,$B63,Calculations!$J$7:$J$31))</f>
        <v/>
      </c>
      <c r="D63" s="490" t="str">
        <f t="shared" si="0"/>
        <v/>
      </c>
      <c r="E63" s="491" t="str">
        <f t="shared" si="1"/>
        <v/>
      </c>
      <c r="F63" s="491" t="str">
        <f t="shared" si="1"/>
        <v/>
      </c>
      <c r="G63" s="492"/>
      <c r="H63" s="490" t="str">
        <f>IF(C63="","",IF(ISERROR(SUMIF(Calculations!$BR$7:$BR$31,$B63,Calculations!$AR$7:$AR$31)),"",SUMIF(Calculations!$BR$7:$BR$31,$B63,Calculations!$AR$7:$AR$31)))</f>
        <v/>
      </c>
      <c r="I63" s="491" t="str">
        <f>IF(C63="","",IF(ISERROR(SUMIF(Calculations!$BR$7:$BR$31,$B63,Calculations!$BK$7:$BK$31)),"",SUMIF(Calculations!$BR$7:$BR$31,$B63,Calculations!$BK$7:$BK$31)))</f>
        <v/>
      </c>
      <c r="J63" s="491" t="str">
        <f>IF(C63="","",IF(ISERROR(SUMIF(Calculations!$BR$7:$BR$31,$B63,Calculations!$BI$7:$BI$31)),"",SUMIF(Calculations!$BR$7:$BR$31,$B63,Calculations!$BI$7:$BI$31)))</f>
        <v/>
      </c>
      <c r="K63" s="493" t="str">
        <f>IF($C63="","",IF(SUMIF(Calculations!$BR$7:$BR$31,$B63,Calculations!$BM$7:$BM$31)=0,"",SUMIF(Calculations!$BR$7:$BR$31,$B63,Calculations!$BM$7:$BM$31)))</f>
        <v/>
      </c>
    </row>
    <row r="64" spans="2:11" x14ac:dyDescent="0.3">
      <c r="B64" s="488" t="s">
        <v>525</v>
      </c>
      <c r="C64" s="489" t="str">
        <f>IF(SUMIF(Calculations!$BR$7:$BR$31,$B64,Calculations!$J$7:$J$31)=0,"",SUMIF(Calculations!$BR$7:$BR$31,$B64,Calculations!$J$7:$J$31))</f>
        <v/>
      </c>
      <c r="D64" s="490" t="str">
        <f t="shared" ref="D64:D88" si="5">IF(H64="","",H64/C64)</f>
        <v/>
      </c>
      <c r="E64" s="491" t="str">
        <f t="shared" ref="E64:E88" si="6">IF(I64="","",I64/C64)</f>
        <v/>
      </c>
      <c r="F64" s="491" t="str">
        <f t="shared" ref="F64:F88" si="7">IF(J64="","",J64/D64)</f>
        <v/>
      </c>
      <c r="G64" s="492"/>
      <c r="H64" s="490" t="str">
        <f>IF(C64="","",IF(ISERROR(SUMIF(Calculations!$BR$7:$BR$31,$B64,Calculations!$AR$7:$AR$31)),"",SUMIF(Calculations!$BR$7:$BR$31,$B64,Calculations!$AR$7:$AR$31)))</f>
        <v/>
      </c>
      <c r="I64" s="491" t="str">
        <f>IF(C64="","",IF(ISERROR(SUMIF(Calculations!$BR$7:$BR$31,$B64,Calculations!$BK$7:$BK$31)),"",SUMIF(Calculations!$BR$7:$BR$31,$B64,Calculations!$BK$7:$BK$31)))</f>
        <v/>
      </c>
      <c r="J64" s="491" t="str">
        <f>IF(C64="","",IF(ISERROR(SUMIF(Calculations!$BR$7:$BR$31,$B64,Calculations!$BI$7:$BI$31)),"",SUMIF(Calculations!$BR$7:$BR$31,$B64,Calculations!$BI$7:$BI$31)))</f>
        <v/>
      </c>
      <c r="K64" s="493" t="str">
        <f>IF($C64="","",IF(SUMIF(Calculations!$BR$7:$BR$31,$B64,Calculations!$BM$7:$BM$31)=0,"",SUMIF(Calculations!$BR$7:$BR$31,$B64,Calculations!$BM$7:$BM$31)))</f>
        <v/>
      </c>
    </row>
    <row r="65" spans="2:11" x14ac:dyDescent="0.3">
      <c r="B65" s="488" t="s">
        <v>518</v>
      </c>
      <c r="C65" s="489" t="str">
        <f>IF(SUMIF(Calculations!$BR$7:$BR$31,$B65,Calculations!$J$7:$J$31)=0,"",SUMIF(Calculations!$BR$7:$BR$31,$B65,Calculations!$J$7:$J$31))</f>
        <v/>
      </c>
      <c r="D65" s="490" t="str">
        <f t="shared" si="5"/>
        <v/>
      </c>
      <c r="E65" s="491" t="str">
        <f t="shared" si="6"/>
        <v/>
      </c>
      <c r="F65" s="491" t="str">
        <f t="shared" si="7"/>
        <v/>
      </c>
      <c r="G65" s="492"/>
      <c r="H65" s="490" t="str">
        <f>IF(C65="","",IF(ISERROR(SUMIF(Calculations!$BR$7:$BR$31,$B65,Calculations!$AR$7:$AR$31)),"",SUMIF(Calculations!$BR$7:$BR$31,$B65,Calculations!$AR$7:$AR$31)))</f>
        <v/>
      </c>
      <c r="I65" s="491" t="str">
        <f>IF(C65="","",IF(ISERROR(SUMIF(Calculations!$BR$7:$BR$31,$B65,Calculations!$BK$7:$BK$31)),"",SUMIF(Calculations!$BR$7:$BR$31,$B65,Calculations!$BK$7:$BK$31)))</f>
        <v/>
      </c>
      <c r="J65" s="491" t="str">
        <f>IF(C65="","",IF(ISERROR(SUMIF(Calculations!$BR$7:$BR$31,$B65,Calculations!$BI$7:$BI$31)),"",SUMIF(Calculations!$BR$7:$BR$31,$B65,Calculations!$BI$7:$BI$31)))</f>
        <v/>
      </c>
      <c r="K65" s="493" t="str">
        <f>IF($C65="","",IF(SUMIF(Calculations!$BR$7:$BR$31,$B65,Calculations!$BM$7:$BM$31)=0,"",SUMIF(Calculations!$BR$7:$BR$31,$B65,Calculations!$BM$7:$BM$31)))</f>
        <v/>
      </c>
    </row>
    <row r="66" spans="2:11" x14ac:dyDescent="0.3">
      <c r="B66" s="488" t="s">
        <v>526</v>
      </c>
      <c r="C66" s="489" t="str">
        <f>IF(SUMIF(Calculations!$BR$7:$BR$31,$B66,Calculations!$J$7:$J$31)=0,"",SUMIF(Calculations!$BR$7:$BR$31,$B66,Calculations!$J$7:$J$31))</f>
        <v/>
      </c>
      <c r="D66" s="490" t="str">
        <f t="shared" si="5"/>
        <v/>
      </c>
      <c r="E66" s="491" t="str">
        <f t="shared" si="6"/>
        <v/>
      </c>
      <c r="F66" s="491" t="str">
        <f t="shared" si="7"/>
        <v/>
      </c>
      <c r="G66" s="492"/>
      <c r="H66" s="490" t="str">
        <f>IF(C66="","",IF(ISERROR(SUMIF(Calculations!$BR$7:$BR$31,$B66,Calculations!$AR$7:$AR$31)),"",SUMIF(Calculations!$BR$7:$BR$31,$B66,Calculations!$AR$7:$AR$31)))</f>
        <v/>
      </c>
      <c r="I66" s="491" t="str">
        <f>IF(C66="","",IF(ISERROR(SUMIF(Calculations!$BR$7:$BR$31,$B66,Calculations!$BK$7:$BK$31)),"",SUMIF(Calculations!$BR$7:$BR$31,$B66,Calculations!$BK$7:$BK$31)))</f>
        <v/>
      </c>
      <c r="J66" s="491" t="str">
        <f>IF(C66="","",IF(ISERROR(SUMIF(Calculations!$BR$7:$BR$31,$B66,Calculations!$BI$7:$BI$31)),"",SUMIF(Calculations!$BR$7:$BR$31,$B66,Calculations!$BI$7:$BI$31)))</f>
        <v/>
      </c>
      <c r="K66" s="493" t="str">
        <f>IF($C66="","",IF(SUMIF(Calculations!$BR$7:$BR$31,$B66,Calculations!$BM$7:$BM$31)=0,"",SUMIF(Calculations!$BR$7:$BR$31,$B66,Calculations!$BM$7:$BM$31)))</f>
        <v/>
      </c>
    </row>
    <row r="67" spans="2:11" x14ac:dyDescent="0.3">
      <c r="B67" s="488" t="s">
        <v>519</v>
      </c>
      <c r="C67" s="489" t="str">
        <f>IF(SUMIF(Calculations!$BR$7:$BR$31,$B67,Calculations!$J$7:$J$31)=0,"",SUMIF(Calculations!$BR$7:$BR$31,$B67,Calculations!$J$7:$J$31))</f>
        <v/>
      </c>
      <c r="D67" s="490" t="str">
        <f t="shared" si="5"/>
        <v/>
      </c>
      <c r="E67" s="491" t="str">
        <f t="shared" si="6"/>
        <v/>
      </c>
      <c r="F67" s="491" t="str">
        <f t="shared" si="7"/>
        <v/>
      </c>
      <c r="G67" s="492"/>
      <c r="H67" s="490" t="str">
        <f>IF(C67="","",IF(ISERROR(SUMIF(Calculations!$BR$7:$BR$31,$B67,Calculations!$AR$7:$AR$31)),"",SUMIF(Calculations!$BR$7:$BR$31,$B67,Calculations!$AR$7:$AR$31)))</f>
        <v/>
      </c>
      <c r="I67" s="491" t="str">
        <f>IF(C67="","",IF(ISERROR(SUMIF(Calculations!$BR$7:$BR$31,$B67,Calculations!$BK$7:$BK$31)),"",SUMIF(Calculations!$BR$7:$BR$31,$B67,Calculations!$BK$7:$BK$31)))</f>
        <v/>
      </c>
      <c r="J67" s="491" t="str">
        <f>IF(C67="","",IF(ISERROR(SUMIF(Calculations!$BR$7:$BR$31,$B67,Calculations!$BI$7:$BI$31)),"",SUMIF(Calculations!$BR$7:$BR$31,$B67,Calculations!$BI$7:$BI$31)))</f>
        <v/>
      </c>
      <c r="K67" s="493" t="str">
        <f>IF($C67="","",IF(SUMIF(Calculations!$BR$7:$BR$31,$B67,Calculations!$BM$7:$BM$31)=0,"",SUMIF(Calculations!$BR$7:$BR$31,$B67,Calculations!$BM$7:$BM$31)))</f>
        <v/>
      </c>
    </row>
    <row r="68" spans="2:11" x14ac:dyDescent="0.3">
      <c r="B68" s="488" t="s">
        <v>520</v>
      </c>
      <c r="C68" s="489" t="str">
        <f>IF(SUMIF(Calculations!$BR$7:$BR$31,$B68,Calculations!$J$7:$J$31)=0,"",SUMIF(Calculations!$BR$7:$BR$31,$B68,Calculations!$J$7:$J$31))</f>
        <v/>
      </c>
      <c r="D68" s="490" t="str">
        <f t="shared" si="5"/>
        <v/>
      </c>
      <c r="E68" s="491" t="str">
        <f t="shared" si="6"/>
        <v/>
      </c>
      <c r="F68" s="491" t="str">
        <f t="shared" si="7"/>
        <v/>
      </c>
      <c r="G68" s="492"/>
      <c r="H68" s="490" t="str">
        <f>IF(C68="","",IF(ISERROR(SUMIF(Calculations!$BR$7:$BR$31,$B68,Calculations!$AR$7:$AR$31)),"",SUMIF(Calculations!$BR$7:$BR$31,$B68,Calculations!$AR$7:$AR$31)))</f>
        <v/>
      </c>
      <c r="I68" s="491" t="str">
        <f>IF(C68="","",IF(ISERROR(SUMIF(Calculations!$BR$7:$BR$31,$B68,Calculations!$BK$7:$BK$31)),"",SUMIF(Calculations!$BR$7:$BR$31,$B68,Calculations!$BK$7:$BK$31)))</f>
        <v/>
      </c>
      <c r="J68" s="491" t="str">
        <f>IF(C68="","",IF(ISERROR(SUMIF(Calculations!$BR$7:$BR$31,$B68,Calculations!$BI$7:$BI$31)),"",SUMIF(Calculations!$BR$7:$BR$31,$B68,Calculations!$BI$7:$BI$31)))</f>
        <v/>
      </c>
      <c r="K68" s="493" t="str">
        <f>IF($C68="","",IF(SUMIF(Calculations!$BR$7:$BR$31,$B68,Calculations!$BM$7:$BM$31)=0,"",SUMIF(Calculations!$BR$7:$BR$31,$B68,Calculations!$BM$7:$BM$31)))</f>
        <v/>
      </c>
    </row>
    <row r="69" spans="2:11" x14ac:dyDescent="0.3">
      <c r="B69" s="488" t="s">
        <v>521</v>
      </c>
      <c r="C69" s="489" t="str">
        <f>IF(SUMIF(Calculations!$BR$7:$BR$31,$B69,Calculations!$J$7:$J$31)=0,"",SUMIF(Calculations!$BR$7:$BR$31,$B69,Calculations!$J$7:$J$31))</f>
        <v/>
      </c>
      <c r="D69" s="490" t="str">
        <f t="shared" si="5"/>
        <v/>
      </c>
      <c r="E69" s="491" t="str">
        <f t="shared" si="6"/>
        <v/>
      </c>
      <c r="F69" s="491" t="str">
        <f t="shared" si="7"/>
        <v/>
      </c>
      <c r="G69" s="492"/>
      <c r="H69" s="490" t="str">
        <f>IF(C69="","",IF(ISERROR(SUMIF(Calculations!$BR$7:$BR$31,$B69,Calculations!$AR$7:$AR$31)),"",SUMIF(Calculations!$BR$7:$BR$31,$B69,Calculations!$AR$7:$AR$31)))</f>
        <v/>
      </c>
      <c r="I69" s="491" t="str">
        <f>IF(C69="","",IF(ISERROR(SUMIF(Calculations!$BR$7:$BR$31,$B69,Calculations!$BK$7:$BK$31)),"",SUMIF(Calculations!$BR$7:$BR$31,$B69,Calculations!$BK$7:$BK$31)))</f>
        <v/>
      </c>
      <c r="J69" s="491" t="str">
        <f>IF(C69="","",IF(ISERROR(SUMIF(Calculations!$BR$7:$BR$31,$B69,Calculations!$BI$7:$BI$31)),"",SUMIF(Calculations!$BR$7:$BR$31,$B69,Calculations!$BI$7:$BI$31)))</f>
        <v/>
      </c>
      <c r="K69" s="493" t="str">
        <f>IF($C69="","",IF(SUMIF(Calculations!$BR$7:$BR$31,$B69,Calculations!$BM$7:$BM$31)=0,"",SUMIF(Calculations!$BR$7:$BR$31,$B69,Calculations!$BM$7:$BM$31)))</f>
        <v/>
      </c>
    </row>
    <row r="70" spans="2:11" x14ac:dyDescent="0.3">
      <c r="B70" s="488" t="s">
        <v>522</v>
      </c>
      <c r="C70" s="489" t="str">
        <f>IF(SUMIF(Calculations!$BR$7:$BR$31,$B70,Calculations!$J$7:$J$31)=0,"",SUMIF(Calculations!$BR$7:$BR$31,$B70,Calculations!$J$7:$J$31))</f>
        <v/>
      </c>
      <c r="D70" s="490" t="str">
        <f t="shared" si="5"/>
        <v/>
      </c>
      <c r="E70" s="491" t="str">
        <f t="shared" si="6"/>
        <v/>
      </c>
      <c r="F70" s="491" t="str">
        <f t="shared" si="7"/>
        <v/>
      </c>
      <c r="G70" s="492"/>
      <c r="H70" s="490" t="str">
        <f>IF(C70="","",IF(ISERROR(SUMIF(Calculations!$BR$7:$BR$31,$B70,Calculations!$AR$7:$AR$31)),"",SUMIF(Calculations!$BR$7:$BR$31,$B70,Calculations!$AR$7:$AR$31)))</f>
        <v/>
      </c>
      <c r="I70" s="491" t="str">
        <f>IF(C70="","",IF(ISERROR(SUMIF(Calculations!$BR$7:$BR$31,$B70,Calculations!$BK$7:$BK$31)),"",SUMIF(Calculations!$BR$7:$BR$31,$B70,Calculations!$BK$7:$BK$31)))</f>
        <v/>
      </c>
      <c r="J70" s="491" t="str">
        <f>IF(C70="","",IF(ISERROR(SUMIF(Calculations!$BR$7:$BR$31,$B70,Calculations!$BI$7:$BI$31)),"",SUMIF(Calculations!$BR$7:$BR$31,$B70,Calculations!$BI$7:$BI$31)))</f>
        <v/>
      </c>
      <c r="K70" s="493" t="str">
        <f>IF($C70="","",IF(SUMIF(Calculations!$BR$7:$BR$31,$B70,Calculations!$BM$7:$BM$31)=0,"",SUMIF(Calculations!$BR$7:$BR$31,$B70,Calculations!$BM$7:$BM$31)))</f>
        <v/>
      </c>
    </row>
    <row r="71" spans="2:11" x14ac:dyDescent="0.3">
      <c r="B71" s="488" t="s">
        <v>523</v>
      </c>
      <c r="C71" s="489" t="str">
        <f>IF(SUMIF(Calculations!$BR$7:$BR$31,$B71,Calculations!$J$7:$J$31)=0,"",SUMIF(Calculations!$BR$7:$BR$31,$B71,Calculations!$J$7:$J$31))</f>
        <v/>
      </c>
      <c r="D71" s="490" t="str">
        <f t="shared" si="5"/>
        <v/>
      </c>
      <c r="E71" s="491" t="str">
        <f t="shared" si="6"/>
        <v/>
      </c>
      <c r="F71" s="491" t="str">
        <f t="shared" si="7"/>
        <v/>
      </c>
      <c r="G71" s="492"/>
      <c r="H71" s="490" t="str">
        <f>IF(C71="","",IF(ISERROR(SUMIF(Calculations!$BR$7:$BR$31,$B71,Calculations!$AR$7:$AR$31)),"",SUMIF(Calculations!$BR$7:$BR$31,$B71,Calculations!$AR$7:$AR$31)))</f>
        <v/>
      </c>
      <c r="I71" s="491" t="str">
        <f>IF(C71="","",IF(ISERROR(SUMIF(Calculations!$BR$7:$BR$31,$B71,Calculations!$BK$7:$BK$31)),"",SUMIF(Calculations!$BR$7:$BR$31,$B71,Calculations!$BK$7:$BK$31)))</f>
        <v/>
      </c>
      <c r="J71" s="491" t="str">
        <f>IF(C71="","",IF(ISERROR(SUMIF(Calculations!$BR$7:$BR$31,$B71,Calculations!$BI$7:$BI$31)),"",SUMIF(Calculations!$BR$7:$BR$31,$B71,Calculations!$BI$7:$BI$31)))</f>
        <v/>
      </c>
      <c r="K71" s="493" t="str">
        <f>IF($C71="","",IF(SUMIF(Calculations!$BR$7:$BR$31,$B71,Calculations!$BM$7:$BM$31)=0,"",SUMIF(Calculations!$BR$7:$BR$31,$B71,Calculations!$BM$7:$BM$31)))</f>
        <v/>
      </c>
    </row>
    <row r="72" spans="2:11" x14ac:dyDescent="0.3">
      <c r="B72" s="488" t="s">
        <v>524</v>
      </c>
      <c r="C72" s="489" t="str">
        <f>IF(SUMIF(Calculations!$BR$7:$BR$31,$B72,Calculations!$J$7:$J$31)=0,"",SUMIF(Calculations!$BR$7:$BR$31,$B72,Calculations!$J$7:$J$31))</f>
        <v/>
      </c>
      <c r="D72" s="490" t="str">
        <f t="shared" si="5"/>
        <v/>
      </c>
      <c r="E72" s="491" t="str">
        <f t="shared" si="6"/>
        <v/>
      </c>
      <c r="F72" s="491" t="str">
        <f t="shared" si="7"/>
        <v/>
      </c>
      <c r="G72" s="492"/>
      <c r="H72" s="490" t="str">
        <f>IF(C72="","",IF(ISERROR(SUMIF(Calculations!$BR$7:$BR$31,$B72,Calculations!$AR$7:$AR$31)),"",SUMIF(Calculations!$BR$7:$BR$31,$B72,Calculations!$AR$7:$AR$31)))</f>
        <v/>
      </c>
      <c r="I72" s="491" t="str">
        <f>IF(C72="","",IF(ISERROR(SUMIF(Calculations!$BR$7:$BR$31,$B72,Calculations!$BK$7:$BK$31)),"",SUMIF(Calculations!$BR$7:$BR$31,$B72,Calculations!$BK$7:$BK$31)))</f>
        <v/>
      </c>
      <c r="J72" s="491" t="str">
        <f>IF(C72="","",IF(ISERROR(SUMIF(Calculations!$BR$7:$BR$31,$B72,Calculations!$BI$7:$BI$31)),"",SUMIF(Calculations!$BR$7:$BR$31,$B72,Calculations!$BI$7:$BI$31)))</f>
        <v/>
      </c>
      <c r="K72" s="493" t="str">
        <f>IF($C72="","",IF(SUMIF(Calculations!$BR$7:$BR$31,$B72,Calculations!$BM$7:$BM$31)=0,"",SUMIF(Calculations!$BR$7:$BR$31,$B72,Calculations!$BM$7:$BM$31)))</f>
        <v/>
      </c>
    </row>
    <row r="73" spans="2:11" x14ac:dyDescent="0.3">
      <c r="B73" s="488" t="s">
        <v>422</v>
      </c>
      <c r="C73" s="489" t="str">
        <f>IF(SUMIF(Calculations!$BR$7:$BR$31,$B73,Calculations!$J$7:$J$31)=0,"",SUMIF(Calculations!$BR$7:$BR$31,$B73,Calculations!$J$7:$J$31))</f>
        <v/>
      </c>
      <c r="D73" s="490" t="str">
        <f t="shared" si="5"/>
        <v/>
      </c>
      <c r="E73" s="491" t="str">
        <f t="shared" si="6"/>
        <v/>
      </c>
      <c r="F73" s="491" t="str">
        <f t="shared" si="7"/>
        <v/>
      </c>
      <c r="G73" s="492"/>
      <c r="H73" s="490" t="str">
        <f>IF(C73="","",IF(ISERROR(SUMIF(Calculations!$BR$7:$BR$31,$B73,Calculations!$AR$7:$AR$31)),"",SUMIF(Calculations!$BR$7:$BR$31,$B73,Calculations!$AR$7:$AR$31)))</f>
        <v/>
      </c>
      <c r="I73" s="491" t="str">
        <f>IF(C73="","",IF(ISERROR(SUMIF(Calculations!$BR$7:$BR$31,$B73,Calculations!$BK$7:$BK$31)),"",SUMIF(Calculations!$BR$7:$BR$31,$B73,Calculations!$BK$7:$BK$31)))</f>
        <v/>
      </c>
      <c r="J73" s="491" t="str">
        <f>IF(C73="","",IF(ISERROR(SUMIF(Calculations!$BR$7:$BR$31,$B73,Calculations!$BI$7:$BI$31)),"",SUMIF(Calculations!$BR$7:$BR$31,$B73,Calculations!$BI$7:$BI$31)))</f>
        <v/>
      </c>
      <c r="K73" s="493" t="str">
        <f>IF($C73="","",IF(SUMIF(Calculations!$BR$7:$BR$31,$B73,Calculations!$BM$7:$BM$31)=0,"",SUMIF(Calculations!$BR$7:$BR$31,$B73,Calculations!$BM$7:$BM$31)))</f>
        <v/>
      </c>
    </row>
    <row r="74" spans="2:11" x14ac:dyDescent="0.3">
      <c r="B74" s="488" t="s">
        <v>944</v>
      </c>
      <c r="C74" s="489" t="str">
        <f>IF(SUMIF(Calculations!$BR$7:$BR$31,$B74,Calculations!$J$7:$J$31)=0,"",SUMIF(Calculations!$BR$7:$BR$31,$B74,Calculations!$J$7:$J$31))</f>
        <v/>
      </c>
      <c r="D74" s="490" t="str">
        <f t="shared" si="5"/>
        <v/>
      </c>
      <c r="E74" s="491" t="str">
        <f t="shared" si="6"/>
        <v/>
      </c>
      <c r="F74" s="491" t="str">
        <f t="shared" si="7"/>
        <v/>
      </c>
      <c r="G74" s="492"/>
      <c r="H74" s="490" t="str">
        <f>IF(C74="","",IF(ISERROR(SUMIF(Calculations!$BR$7:$BR$31,$B74,Calculations!$AR$7:$AR$31)),"",SUMIF(Calculations!$BR$7:$BR$31,$B74,Calculations!$AR$7:$AR$31)))</f>
        <v/>
      </c>
      <c r="I74" s="491" t="str">
        <f>IF(C74="","",IF(ISERROR(SUMIF(Calculations!$BR$7:$BR$31,$B74,Calculations!$BK$7:$BK$31)),"",SUMIF(Calculations!$BR$7:$BR$31,$B74,Calculations!$BK$7:$BK$31)))</f>
        <v/>
      </c>
      <c r="J74" s="491" t="str">
        <f>IF(C74="","",IF(ISERROR(SUMIF(Calculations!$BR$7:$BR$31,$B74,Calculations!$BI$7:$BI$31)),"",SUMIF(Calculations!$BR$7:$BR$31,$B74,Calculations!$BI$7:$BI$31)))</f>
        <v/>
      </c>
      <c r="K74" s="493" t="str">
        <f>IF($C74="","",IF(SUMIF(Calculations!$BR$7:$BR$31,$B74,Calculations!$BM$7:$BM$31)=0,"",SUMIF(Calculations!$BR$7:$BR$31,$B74,Calculations!$BM$7:$BM$31)))</f>
        <v/>
      </c>
    </row>
    <row r="75" spans="2:11" x14ac:dyDescent="0.3">
      <c r="B75" s="488" t="s">
        <v>947</v>
      </c>
      <c r="C75" s="489" t="str">
        <f>IF(SUMIF(Calculations!$BR$7:$BR$31,$B75,Calculations!$J$7:$J$31)=0,"",SUMIF(Calculations!$BR$7:$BR$31,$B75,Calculations!$J$7:$J$31))</f>
        <v/>
      </c>
      <c r="D75" s="490" t="str">
        <f t="shared" si="5"/>
        <v/>
      </c>
      <c r="E75" s="491" t="str">
        <f t="shared" si="6"/>
        <v/>
      </c>
      <c r="F75" s="491" t="str">
        <f t="shared" si="7"/>
        <v/>
      </c>
      <c r="G75" s="492"/>
      <c r="H75" s="490" t="str">
        <f>IF(C75="","",IF(ISERROR(SUMIF(Calculations!$BR$7:$BR$31,$B75,Calculations!$AR$7:$AR$31)),"",SUMIF(Calculations!$BR$7:$BR$31,$B75,Calculations!$AR$7:$AR$31)))</f>
        <v/>
      </c>
      <c r="I75" s="491" t="str">
        <f>IF(C75="","",IF(ISERROR(SUMIF(Calculations!$BR$7:$BR$31,$B75,Calculations!$BK$7:$BK$31)),"",SUMIF(Calculations!$BR$7:$BR$31,$B75,Calculations!$BK$7:$BK$31)))</f>
        <v/>
      </c>
      <c r="J75" s="491" t="str">
        <f>IF(C75="","",IF(ISERROR(SUMIF(Calculations!$BR$7:$BR$31,$B75,Calculations!$BI$7:$BI$31)),"",SUMIF(Calculations!$BR$7:$BR$31,$B75,Calculations!$BI$7:$BI$31)))</f>
        <v/>
      </c>
      <c r="K75" s="493" t="str">
        <f>IF($C75="","",IF(SUMIF(Calculations!$BR$7:$BR$31,$B75,Calculations!$BM$7:$BM$31)=0,"",SUMIF(Calculations!$BR$7:$BR$31,$B75,Calculations!$BM$7:$BM$31)))</f>
        <v/>
      </c>
    </row>
    <row r="76" spans="2:11" x14ac:dyDescent="0.3">
      <c r="B76" s="488" t="s">
        <v>950</v>
      </c>
      <c r="C76" s="489" t="str">
        <f>IF(SUMIF(Calculations!$BR$7:$BR$31,$B76,Calculations!$J$7:$J$31)=0,"",SUMIF(Calculations!$BR$7:$BR$31,$B76,Calculations!$J$7:$J$31))</f>
        <v/>
      </c>
      <c r="D76" s="490" t="str">
        <f t="shared" si="5"/>
        <v/>
      </c>
      <c r="E76" s="491" t="str">
        <f t="shared" si="6"/>
        <v/>
      </c>
      <c r="F76" s="491" t="str">
        <f t="shared" si="7"/>
        <v/>
      </c>
      <c r="G76" s="492"/>
      <c r="H76" s="490" t="str">
        <f>IF(C76="","",IF(ISERROR(SUMIF(Calculations!$BR$7:$BR$31,$B76,Calculations!$AR$7:$AR$31)),"",SUMIF(Calculations!$BR$7:$BR$31,$B76,Calculations!$AR$7:$AR$31)))</f>
        <v/>
      </c>
      <c r="I76" s="491" t="str">
        <f>IF(C76="","",IF(ISERROR(SUMIF(Calculations!$BR$7:$BR$31,$B76,Calculations!$BK$7:$BK$31)),"",SUMIF(Calculations!$BR$7:$BR$31,$B76,Calculations!$BK$7:$BK$31)))</f>
        <v/>
      </c>
      <c r="J76" s="491" t="str">
        <f>IF(C76="","",IF(ISERROR(SUMIF(Calculations!$BR$7:$BR$31,$B76,Calculations!$BI$7:$BI$31)),"",SUMIF(Calculations!$BR$7:$BR$31,$B76,Calculations!$BI$7:$BI$31)))</f>
        <v/>
      </c>
      <c r="K76" s="493" t="str">
        <f>IF($C76="","",IF(SUMIF(Calculations!$BR$7:$BR$31,$B76,Calculations!$BM$7:$BM$31)=0,"",SUMIF(Calculations!$BR$7:$BR$31,$B76,Calculations!$BM$7:$BM$31)))</f>
        <v/>
      </c>
    </row>
    <row r="77" spans="2:11" x14ac:dyDescent="0.3">
      <c r="B77" s="488" t="s">
        <v>1604</v>
      </c>
      <c r="C77" s="489" t="str">
        <f>IF(SUMIF(Calculations!$BR$7:$BR$31,$B77,Calculations!$J$7:$J$31)=0,"",SUMIF(Calculations!$BR$7:$BR$31,$B77,Calculations!$J$7:$J$31))</f>
        <v/>
      </c>
      <c r="D77" s="490" t="str">
        <f t="shared" si="5"/>
        <v/>
      </c>
      <c r="E77" s="491" t="str">
        <f t="shared" si="6"/>
        <v/>
      </c>
      <c r="F77" s="491" t="str">
        <f t="shared" si="7"/>
        <v/>
      </c>
      <c r="G77" s="492"/>
      <c r="H77" s="490" t="str">
        <f>IF(C77="","",IF(ISERROR(SUMIF(Calculations!$BR$7:$BR$31,$B77,Calculations!$AR$7:$AR$31)),"",SUMIF(Calculations!$BR$7:$BR$31,$B77,Calculations!$AR$7:$AR$31)))</f>
        <v/>
      </c>
      <c r="I77" s="491" t="str">
        <f>IF(C77="","",IF(ISERROR(SUMIF(Calculations!$BR$7:$BR$31,$B77,Calculations!$BK$7:$BK$31)),"",SUMIF(Calculations!$BR$7:$BR$31,$B77,Calculations!$BK$7:$BK$31)))</f>
        <v/>
      </c>
      <c r="J77" s="491" t="str">
        <f>IF(C77="","",IF(ISERROR(SUMIF(Calculations!$BR$7:$BR$31,$B77,Calculations!$BI$7:$BI$31)),"",SUMIF(Calculations!$BR$7:$BR$31,$B77,Calculations!$BI$7:$BI$31)))</f>
        <v/>
      </c>
      <c r="K77" s="493" t="str">
        <f>IF($C77="","",IF(SUMIF(Calculations!$BR$7:$BR$31,$B77,Calculations!$BM$7:$BM$31)=0,"",SUMIF(Calculations!$BR$7:$BR$31,$B77,Calculations!$BM$7:$BM$31)))</f>
        <v/>
      </c>
    </row>
    <row r="78" spans="2:11" x14ac:dyDescent="0.3">
      <c r="B78" s="488" t="s">
        <v>1594</v>
      </c>
      <c r="C78" s="489" t="str">
        <f>IF(SUMIF(Calculations!$BR$7:$BR$31,$B78,Calculations!$J$7:$J$31)=0,"",SUMIF(Calculations!$BR$7:$BR$31,$B78,Calculations!$J$7:$J$31))</f>
        <v/>
      </c>
      <c r="D78" s="490" t="str">
        <f t="shared" si="5"/>
        <v/>
      </c>
      <c r="E78" s="491" t="str">
        <f t="shared" si="6"/>
        <v/>
      </c>
      <c r="F78" s="491" t="str">
        <f t="shared" si="7"/>
        <v/>
      </c>
      <c r="G78" s="492"/>
      <c r="H78" s="490" t="str">
        <f>IF(C78="","",IF(ISERROR(SUMIF(Calculations!$BR$7:$BR$31,$B78,Calculations!$AR$7:$AR$31)),"",SUMIF(Calculations!$BR$7:$BR$31,$B78,Calculations!$AR$7:$AR$31)))</f>
        <v/>
      </c>
      <c r="I78" s="491" t="str">
        <f>IF(C78="","",IF(ISERROR(SUMIF(Calculations!$BR$7:$BR$31,$B78,Calculations!$BK$7:$BK$31)),"",SUMIF(Calculations!$BR$7:$BR$31,$B78,Calculations!$BK$7:$BK$31)))</f>
        <v/>
      </c>
      <c r="J78" s="491" t="str">
        <f>IF(C78="","",IF(ISERROR(SUMIF(Calculations!$BR$7:$BR$31,$B78,Calculations!$BI$7:$BI$31)),"",SUMIF(Calculations!$BR$7:$BR$31,$B78,Calculations!$BI$7:$BI$31)))</f>
        <v/>
      </c>
      <c r="K78" s="493" t="str">
        <f>IF($C78="","",IF(SUMIF(Calculations!$BR$7:$BR$31,$B78,Calculations!$BM$7:$BM$31)=0,"",SUMIF(Calculations!$BR$7:$BR$31,$B78,Calculations!$BM$7:$BM$31)))</f>
        <v/>
      </c>
    </row>
    <row r="79" spans="2:11" x14ac:dyDescent="0.3">
      <c r="B79" s="488" t="s">
        <v>1595</v>
      </c>
      <c r="C79" s="489" t="str">
        <f>IF(SUMIF(Calculations!$BR$7:$BR$31,$B79,Calculations!$J$7:$J$31)=0,"",SUMIF(Calculations!$BR$7:$BR$31,$B79,Calculations!$J$7:$J$31))</f>
        <v/>
      </c>
      <c r="D79" s="490" t="str">
        <f t="shared" si="5"/>
        <v/>
      </c>
      <c r="E79" s="491" t="str">
        <f t="shared" si="6"/>
        <v/>
      </c>
      <c r="F79" s="491" t="str">
        <f t="shared" si="7"/>
        <v/>
      </c>
      <c r="G79" s="492"/>
      <c r="H79" s="490" t="str">
        <f>IF(C79="","",IF(ISERROR(SUMIF(Calculations!$BR$7:$BR$31,$B79,Calculations!$AR$7:$AR$31)),"",SUMIF(Calculations!$BR$7:$BR$31,$B79,Calculations!$AR$7:$AR$31)))</f>
        <v/>
      </c>
      <c r="I79" s="491" t="str">
        <f>IF(C79="","",IF(ISERROR(SUMIF(Calculations!$BR$7:$BR$31,$B79,Calculations!$BK$7:$BK$31)),"",SUMIF(Calculations!$BR$7:$BR$31,$B79,Calculations!$BK$7:$BK$31)))</f>
        <v/>
      </c>
      <c r="J79" s="491" t="str">
        <f>IF(C79="","",IF(ISERROR(SUMIF(Calculations!$BR$7:$BR$31,$B79,Calculations!$BI$7:$BI$31)),"",SUMIF(Calculations!$BR$7:$BR$31,$B79,Calculations!$BI$7:$BI$31)))</f>
        <v/>
      </c>
      <c r="K79" s="493" t="str">
        <f>IF($C79="","",IF(SUMIF(Calculations!$BR$7:$BR$31,$B79,Calculations!$BM$7:$BM$31)=0,"",SUMIF(Calculations!$BR$7:$BR$31,$B79,Calculations!$BM$7:$BM$31)))</f>
        <v/>
      </c>
    </row>
    <row r="80" spans="2:11" x14ac:dyDescent="0.3">
      <c r="B80" s="488" t="s">
        <v>1596</v>
      </c>
      <c r="C80" s="489" t="str">
        <f>IF(SUMIF(Calculations!$BR$7:$BR$31,$B80,Calculations!$J$7:$J$31)=0,"",SUMIF(Calculations!$BR$7:$BR$31,$B80,Calculations!$J$7:$J$31))</f>
        <v/>
      </c>
      <c r="D80" s="490" t="str">
        <f t="shared" si="5"/>
        <v/>
      </c>
      <c r="E80" s="491" t="str">
        <f t="shared" si="6"/>
        <v/>
      </c>
      <c r="F80" s="491" t="str">
        <f t="shared" si="7"/>
        <v/>
      </c>
      <c r="G80" s="492"/>
      <c r="H80" s="490" t="str">
        <f>IF(C80="","",IF(ISERROR(SUMIF(Calculations!$BR$7:$BR$31,$B80,Calculations!$AR$7:$AR$31)),"",SUMIF(Calculations!$BR$7:$BR$31,$B80,Calculations!$AR$7:$AR$31)))</f>
        <v/>
      </c>
      <c r="I80" s="491" t="str">
        <f>IF(C80="","",IF(ISERROR(SUMIF(Calculations!$BR$7:$BR$31,$B80,Calculations!$BK$7:$BK$31)),"",SUMIF(Calculations!$BR$7:$BR$31,$B80,Calculations!$BK$7:$BK$31)))</f>
        <v/>
      </c>
      <c r="J80" s="491" t="str">
        <f>IF(C80="","",IF(ISERROR(SUMIF(Calculations!$BR$7:$BR$31,$B80,Calculations!$BI$7:$BI$31)),"",SUMIF(Calculations!$BR$7:$BR$31,$B80,Calculations!$BI$7:$BI$31)))</f>
        <v/>
      </c>
      <c r="K80" s="493" t="str">
        <f>IF($C80="","",IF(SUMIF(Calculations!$BR$7:$BR$31,$B80,Calculations!$BM$7:$BM$31)=0,"",SUMIF(Calculations!$BR$7:$BR$31,$B80,Calculations!$BM$7:$BM$31)))</f>
        <v/>
      </c>
    </row>
    <row r="81" spans="2:14" x14ac:dyDescent="0.3">
      <c r="B81" s="488" t="s">
        <v>2254</v>
      </c>
      <c r="C81" s="489" t="str">
        <f>IF(SUMIF(Calculations!$BR$7:$BR$31,$B81,Calculations!$J$7:$J$31)=0,"",SUMIF(Calculations!$BR$7:$BR$31,$B81,Calculations!$J$7:$J$31))</f>
        <v/>
      </c>
      <c r="D81" s="490" t="str">
        <f t="shared" si="5"/>
        <v/>
      </c>
      <c r="E81" s="491" t="str">
        <f t="shared" si="6"/>
        <v/>
      </c>
      <c r="F81" s="491" t="str">
        <f t="shared" si="7"/>
        <v/>
      </c>
      <c r="G81" s="492"/>
      <c r="H81" s="490" t="str">
        <f>IF(C81="","",IF(ISERROR(SUMIF(Calculations!$BR$7:$BR$31,$B81,Calculations!$AR$7:$AR$31)),"",SUMIF(Calculations!$BR$7:$BR$31,$B81,Calculations!$AR$7:$AR$31)))</f>
        <v/>
      </c>
      <c r="I81" s="491" t="str">
        <f>IF(C81="","",IF(ISERROR(SUMIF(Calculations!$BR$7:$BR$31,$B81,Calculations!$BK$7:$BK$31)),"",SUMIF(Calculations!$BR$7:$BR$31,$B81,Calculations!$BK$7:$BK$31)))</f>
        <v/>
      </c>
      <c r="J81" s="491" t="str">
        <f>IF(C81="","",IF(ISERROR(SUMIF(Calculations!$BR$7:$BR$31,$B81,Calculations!$BI$7:$BI$31)),"",SUMIF(Calculations!$BR$7:$BR$31,$B81,Calculations!$BI$7:$BI$31)))</f>
        <v/>
      </c>
      <c r="K81" s="493" t="str">
        <f>IF($C81="","",IF(SUMIF(Calculations!$BR$7:$BR$31,$B81,Calculations!$BM$7:$BM$31)=0,"",SUMIF(Calculations!$BR$7:$BR$31,$B81,Calculations!$BM$7:$BM$31)))</f>
        <v/>
      </c>
    </row>
    <row r="82" spans="2:14" x14ac:dyDescent="0.3">
      <c r="B82" s="488" t="s">
        <v>1895</v>
      </c>
      <c r="C82" s="489" t="str">
        <f>IF(SUMIF(Calculations!$BR$7:$BR$31,$B82,Calculations!$J$7:$J$31)=0,"",SUMIF(Calculations!$BR$7:$BR$31,$B82,Calculations!$J$7:$J$31))</f>
        <v/>
      </c>
      <c r="D82" s="490" t="str">
        <f t="shared" si="5"/>
        <v/>
      </c>
      <c r="E82" s="491" t="str">
        <f t="shared" si="6"/>
        <v/>
      </c>
      <c r="F82" s="491" t="str">
        <f t="shared" si="7"/>
        <v/>
      </c>
      <c r="G82" s="492"/>
      <c r="H82" s="490" t="str">
        <f>IF(C82="","",IF(ISERROR(SUMIF(Calculations!$BR$7:$BR$31,$B82,Calculations!$AR$7:$AR$31)),"",SUMIF(Calculations!$BR$7:$BR$31,$B82,Calculations!$AR$7:$AR$31)))</f>
        <v/>
      </c>
      <c r="I82" s="491" t="str">
        <f>IF(C82="","",IF(ISERROR(SUMIF(Calculations!$BR$7:$BR$31,$B82,Calculations!$BK$7:$BK$31)),"",SUMIF(Calculations!$BR$7:$BR$31,$B82,Calculations!$BK$7:$BK$31)))</f>
        <v/>
      </c>
      <c r="J82" s="491" t="str">
        <f>IF(C82="","",IF(ISERROR(SUMIF(Calculations!$BR$7:$BR$31,$B82,Calculations!$BI$7:$BI$31)),"",SUMIF(Calculations!$BR$7:$BR$31,$B82,Calculations!$BI$7:$BI$31)))</f>
        <v/>
      </c>
      <c r="K82" s="493" t="str">
        <f>IF($C82="","",IF(SUMIF(Calculations!$BR$7:$BR$31,$B82,Calculations!$BM$7:$BM$31)=0,"",SUMIF(Calculations!$BR$7:$BR$31,$B82,Calculations!$BM$7:$BM$31)))</f>
        <v/>
      </c>
    </row>
    <row r="83" spans="2:14" x14ac:dyDescent="0.3">
      <c r="B83" s="488" t="s">
        <v>1896</v>
      </c>
      <c r="C83" s="489" t="str">
        <f>IF(SUMIF(Calculations!$BR$7:$BR$31,$B83,Calculations!$J$7:$J$31)=0,"",SUMIF(Calculations!$BR$7:$BR$31,$B83,Calculations!$J$7:$J$31))</f>
        <v/>
      </c>
      <c r="D83" s="490" t="str">
        <f t="shared" si="5"/>
        <v/>
      </c>
      <c r="E83" s="491" t="str">
        <f t="shared" si="6"/>
        <v/>
      </c>
      <c r="F83" s="491" t="str">
        <f t="shared" si="7"/>
        <v/>
      </c>
      <c r="G83" s="492"/>
      <c r="H83" s="490" t="str">
        <f>IF(C83="","",IF(ISERROR(SUMIF(Calculations!$BR$7:$BR$31,$B83,Calculations!$AR$7:$AR$31)),"",SUMIF(Calculations!$BR$7:$BR$31,$B83,Calculations!$AR$7:$AR$31)))</f>
        <v/>
      </c>
      <c r="I83" s="491" t="str">
        <f>IF(C83="","",IF(ISERROR(SUMIF(Calculations!$BR$7:$BR$31,$B83,Calculations!$BK$7:$BK$31)),"",SUMIF(Calculations!$BR$7:$BR$31,$B83,Calculations!$BK$7:$BK$31)))</f>
        <v/>
      </c>
      <c r="J83" s="491" t="str">
        <f>IF(C83="","",IF(ISERROR(SUMIF(Calculations!$BR$7:$BR$31,$B83,Calculations!$BI$7:$BI$31)),"",SUMIF(Calculations!$BR$7:$BR$31,$B83,Calculations!$BI$7:$BI$31)))</f>
        <v/>
      </c>
      <c r="K83" s="493" t="str">
        <f>IF($C83="","",IF(SUMIF(Calculations!$BR$7:$BR$31,$B83,Calculations!$BM$7:$BM$31)=0,"",SUMIF(Calculations!$BR$7:$BR$31,$B83,Calculations!$BM$7:$BM$31)))</f>
        <v/>
      </c>
    </row>
    <row r="84" spans="2:14" x14ac:dyDescent="0.3">
      <c r="B84" s="488" t="s">
        <v>1897</v>
      </c>
      <c r="C84" s="489" t="str">
        <f>IF(SUMIF(Calculations!$BR$7:$BR$31,$B84,Calculations!$J$7:$J$31)=0,"",SUMIF(Calculations!$BR$7:$BR$31,$B84,Calculations!$J$7:$J$31))</f>
        <v/>
      </c>
      <c r="D84" s="490" t="str">
        <f t="shared" si="5"/>
        <v/>
      </c>
      <c r="E84" s="491" t="str">
        <f t="shared" si="6"/>
        <v/>
      </c>
      <c r="F84" s="491" t="str">
        <f t="shared" si="7"/>
        <v/>
      </c>
      <c r="G84" s="492"/>
      <c r="H84" s="490" t="str">
        <f>IF(C84="","",IF(ISERROR(SUMIF(Calculations!$BR$7:$BR$31,$B84,Calculations!$AR$7:$AR$31)),"",SUMIF(Calculations!$BR$7:$BR$31,$B84,Calculations!$AR$7:$AR$31)))</f>
        <v/>
      </c>
      <c r="I84" s="491" t="str">
        <f>IF(C84="","",IF(ISERROR(SUMIF(Calculations!$BR$7:$BR$31,$B84,Calculations!$BK$7:$BK$31)),"",SUMIF(Calculations!$BR$7:$BR$31,$B84,Calculations!$BK$7:$BK$31)))</f>
        <v/>
      </c>
      <c r="J84" s="491" t="str">
        <f>IF(C84="","",IF(ISERROR(SUMIF(Calculations!$BR$7:$BR$31,$B84,Calculations!$BI$7:$BI$31)),"",SUMIF(Calculations!$BR$7:$BR$31,$B84,Calculations!$BI$7:$BI$31)))</f>
        <v/>
      </c>
      <c r="K84" s="493" t="str">
        <f>IF($C84="","",IF(SUMIF(Calculations!$BR$7:$BR$31,$B84,Calculations!$BM$7:$BM$31)=0,"",SUMIF(Calculations!$BR$7:$BR$31,$B84,Calculations!$BM$7:$BM$31)))</f>
        <v/>
      </c>
    </row>
    <row r="85" spans="2:14" x14ac:dyDescent="0.3">
      <c r="B85" s="488" t="s">
        <v>1607</v>
      </c>
      <c r="C85" s="489" t="str">
        <f>IF(SUMIF(Calculations!$BR$7:$BR$31,$B85,Calculations!$J$7:$J$31)=0,"",SUMIF(Calculations!$BR$7:$BR$31,$B85,Calculations!$J$7:$J$31))</f>
        <v/>
      </c>
      <c r="D85" s="490" t="str">
        <f t="shared" si="5"/>
        <v/>
      </c>
      <c r="E85" s="491" t="str">
        <f t="shared" si="6"/>
        <v/>
      </c>
      <c r="F85" s="491" t="str">
        <f t="shared" si="7"/>
        <v/>
      </c>
      <c r="G85" s="492"/>
      <c r="H85" s="490" t="str">
        <f>IF(C85="","",IF(ISERROR(SUMIF(Calculations!$BR$7:$BR$31,$B85,Calculations!$AR$7:$AR$31)),"",SUMIF(Calculations!$BR$7:$BR$31,$B85,Calculations!$AR$7:$AR$31)))</f>
        <v/>
      </c>
      <c r="I85" s="491" t="str">
        <f>IF(C85="","",IF(ISERROR(SUMIF(Calculations!$BR$7:$BR$31,$B85,Calculations!$BK$7:$BK$31)),"",SUMIF(Calculations!$BR$7:$BR$31,$B85,Calculations!$BK$7:$BK$31)))</f>
        <v/>
      </c>
      <c r="J85" s="491" t="str">
        <f>IF(C85="","",IF(ISERROR(SUMIF(Calculations!$BR$7:$BR$31,$B85,Calculations!$BI$7:$BI$31)),"",SUMIF(Calculations!$BR$7:$BR$31,$B85,Calculations!$BI$7:$BI$31)))</f>
        <v/>
      </c>
      <c r="K85" s="493" t="str">
        <f>IF($C85="","",IF(SUMIF(Calculations!$BR$7:$BR$31,$B85,Calculations!$BM$7:$BM$31)=0,"",SUMIF(Calculations!$BR$7:$BR$31,$B85,Calculations!$BM$7:$BM$31)))</f>
        <v/>
      </c>
    </row>
    <row r="86" spans="2:14" x14ac:dyDescent="0.3">
      <c r="B86" s="488" t="s">
        <v>1597</v>
      </c>
      <c r="C86" s="489" t="str">
        <f>IF(SUMIF(Calculations!$BR$7:$BR$31,$B86,Calculations!$J$7:$J$31)=0,"",SUMIF(Calculations!$BR$7:$BR$31,$B86,Calculations!$J$7:$J$31))</f>
        <v/>
      </c>
      <c r="D86" s="490" t="str">
        <f t="shared" si="5"/>
        <v/>
      </c>
      <c r="E86" s="491" t="str">
        <f t="shared" si="6"/>
        <v/>
      </c>
      <c r="F86" s="491" t="str">
        <f t="shared" si="7"/>
        <v/>
      </c>
      <c r="G86" s="492"/>
      <c r="H86" s="490" t="str">
        <f>IF(C86="","",IF(ISERROR(SUMIF(Calculations!$BR$7:$BR$31,$B86,Calculations!$AR$7:$AR$31)),"",SUMIF(Calculations!$BR$7:$BR$31,$B86,Calculations!$AR$7:$AR$31)))</f>
        <v/>
      </c>
      <c r="I86" s="491" t="str">
        <f>IF(C86="","",IF(ISERROR(SUMIF(Calculations!$BR$7:$BR$31,$B86,Calculations!$BK$7:$BK$31)),"",SUMIF(Calculations!$BR$7:$BR$31,$B86,Calculations!$BK$7:$BK$31)))</f>
        <v/>
      </c>
      <c r="J86" s="491" t="str">
        <f>IF(C86="","",IF(ISERROR(SUMIF(Calculations!$BR$7:$BR$31,$B86,Calculations!$BI$7:$BI$31)),"",SUMIF(Calculations!$BR$7:$BR$31,$B86,Calculations!$BI$7:$BI$31)))</f>
        <v/>
      </c>
      <c r="K86" s="493" t="str">
        <f>IF($C86="","",IF(SUMIF(Calculations!$BR$7:$BR$31,$B86,Calculations!$BM$7:$BM$31)=0,"",SUMIF(Calculations!$BR$7:$BR$31,$B86,Calculations!$BM$7:$BM$31)))</f>
        <v/>
      </c>
    </row>
    <row r="87" spans="2:14" x14ac:dyDescent="0.3">
      <c r="B87" s="488" t="s">
        <v>1598</v>
      </c>
      <c r="C87" s="489" t="str">
        <f>IF(SUMIF(Calculations!$BR$7:$BR$31,$B87,Calculations!$J$7:$J$31)=0,"",SUMIF(Calculations!$BR$7:$BR$31,$B87,Calculations!$J$7:$J$31))</f>
        <v/>
      </c>
      <c r="D87" s="490" t="str">
        <f t="shared" si="5"/>
        <v/>
      </c>
      <c r="E87" s="491" t="str">
        <f t="shared" si="6"/>
        <v/>
      </c>
      <c r="F87" s="491" t="str">
        <f t="shared" si="7"/>
        <v/>
      </c>
      <c r="G87" s="492"/>
      <c r="H87" s="490" t="str">
        <f>IF(C87="","",IF(ISERROR(SUMIF(Calculations!$BR$7:$BR$31,$B87,Calculations!$AR$7:$AR$31)),"",SUMIF(Calculations!$BR$7:$BR$31,$B87,Calculations!$AR$7:$AR$31)))</f>
        <v/>
      </c>
      <c r="I87" s="491" t="str">
        <f>IF(C87="","",IF(ISERROR(SUMIF(Calculations!$BR$7:$BR$31,$B87,Calculations!$BK$7:$BK$31)),"",SUMIF(Calculations!$BR$7:$BR$31,$B87,Calculations!$BK$7:$BK$31)))</f>
        <v/>
      </c>
      <c r="J87" s="491" t="str">
        <f>IF(C87="","",IF(ISERROR(SUMIF(Calculations!$BR$7:$BR$31,$B87,Calculations!$BI$7:$BI$31)),"",SUMIF(Calculations!$BR$7:$BR$31,$B87,Calculations!$BI$7:$BI$31)))</f>
        <v/>
      </c>
      <c r="K87" s="493" t="str">
        <f>IF($C87="","",IF(SUMIF(Calculations!$BR$7:$BR$31,$B87,Calculations!$BM$7:$BM$31)=0,"",SUMIF(Calculations!$BR$7:$BR$31,$B87,Calculations!$BM$7:$BM$31)))</f>
        <v/>
      </c>
    </row>
    <row r="88" spans="2:14" x14ac:dyDescent="0.3">
      <c r="B88" s="488" t="s">
        <v>1599</v>
      </c>
      <c r="C88" s="489" t="str">
        <f>IF(SUMIF(Calculations!$BR$7:$BR$31,$B88,Calculations!$J$7:$J$31)=0,"",SUMIF(Calculations!$BR$7:$BR$31,$B88,Calculations!$J$7:$J$31))</f>
        <v/>
      </c>
      <c r="D88" s="490" t="str">
        <f t="shared" si="5"/>
        <v/>
      </c>
      <c r="E88" s="491" t="str">
        <f t="shared" si="6"/>
        <v/>
      </c>
      <c r="F88" s="491" t="str">
        <f t="shared" si="7"/>
        <v/>
      </c>
      <c r="G88" s="492"/>
      <c r="H88" s="490" t="str">
        <f>IF(C88="","",IF(ISERROR(SUMIF(Calculations!$BR$7:$BR$31,$B88,Calculations!$AR$7:$AR$31)),"",SUMIF(Calculations!$BR$7:$BR$31,$B88,Calculations!$AR$7:$AR$31)))</f>
        <v/>
      </c>
      <c r="I88" s="491" t="str">
        <f>IF(C88="","",IF(ISERROR(SUMIF(Calculations!$BR$7:$BR$31,$B88,Calculations!$BK$7:$BK$31)),"",SUMIF(Calculations!$BR$7:$BR$31,$B88,Calculations!$BK$7:$BK$31)))</f>
        <v/>
      </c>
      <c r="J88" s="491" t="str">
        <f>IF(C88="","",IF(ISERROR(SUMIF(Calculations!$BR$7:$BR$31,$B88,Calculations!$BI$7:$BI$31)),"",SUMIF(Calculations!$BR$7:$BR$31,$B88,Calculations!$BI$7:$BI$31)))</f>
        <v/>
      </c>
      <c r="K88" s="493" t="str">
        <f>IF($C88="","",IF(SUMIF(Calculations!$BR$7:$BR$31,$B88,Calculations!$BM$7:$BM$31)=0,"",SUMIF(Calculations!$BR$7:$BR$31,$B88,Calculations!$BM$7:$BM$31)))</f>
        <v/>
      </c>
    </row>
    <row r="89" spans="2:14" x14ac:dyDescent="0.3">
      <c r="B89" s="488" t="s">
        <v>1875</v>
      </c>
      <c r="C89" s="489" t="str">
        <f>IF('Whole Building ccASHP Worksheet'!$B$15="","",_xlfn.IFNA(IF(INDEX(References!$AH$87:$AH$90,MATCH('Whole Building ccASHP Worksheet'!$B$15,References!$AG$87:$AG$90,0))=B89,1,""),""))</f>
        <v/>
      </c>
      <c r="D89" s="490" t="str">
        <f t="shared" ref="D89:F90" si="8">IF($C89="","",0)</f>
        <v/>
      </c>
      <c r="E89" s="490" t="str">
        <f t="shared" si="8"/>
        <v/>
      </c>
      <c r="F89" s="490" t="str">
        <f t="shared" si="8"/>
        <v/>
      </c>
      <c r="G89" s="672"/>
      <c r="H89" s="490" t="str">
        <f>IF(C89="","",0)</f>
        <v/>
      </c>
      <c r="I89" s="491" t="str">
        <f>IF(C89="","",0)</f>
        <v/>
      </c>
      <c r="J89" s="491" t="str">
        <f>IF(C89="","",0)</f>
        <v/>
      </c>
      <c r="K89" s="493" t="str">
        <f>IF($C89="","",'Whole Building ccASHP Worksheet'!L15)</f>
        <v/>
      </c>
    </row>
    <row r="90" spans="2:14" x14ac:dyDescent="0.3">
      <c r="B90" s="488" t="s">
        <v>1876</v>
      </c>
      <c r="C90" s="489" t="str">
        <f>IF('Whole Building ccASHP Worksheet'!$B$15="","",_xlfn.IFNA(IF(INDEX(References!$AH$87:$AH$90,MATCH('Whole Building ccASHP Worksheet'!$B$15,References!$AG$87:$AG$90,0))=B90,1,""),""))</f>
        <v/>
      </c>
      <c r="D90" s="490" t="str">
        <f t="shared" si="8"/>
        <v/>
      </c>
      <c r="E90" s="490" t="str">
        <f t="shared" si="8"/>
        <v/>
      </c>
      <c r="F90" s="490" t="str">
        <f t="shared" si="8"/>
        <v/>
      </c>
      <c r="G90" s="672"/>
      <c r="H90" s="490" t="str">
        <f>IF(C90="","",0)</f>
        <v/>
      </c>
      <c r="I90" s="491" t="str">
        <f>IF(C90="","",0)</f>
        <v/>
      </c>
      <c r="J90" s="491" t="str">
        <f>IF(C90="","",0)</f>
        <v/>
      </c>
      <c r="K90" s="493" t="str">
        <f>IF($C90="","",'Whole Building ccASHP Worksheet'!L15)</f>
        <v/>
      </c>
    </row>
    <row r="91" spans="2:14" x14ac:dyDescent="0.3">
      <c r="B91" s="488" t="s">
        <v>1877</v>
      </c>
      <c r="C91" s="489" t="str">
        <f>IF('Whole Building ccASHP Worksheet'!$B$15="","",_xlfn.IFNA(IF(INDEX(References!$AH$87:$AH$90,MATCH('Whole Building ccASHP Worksheet'!$B$15,References!$AG$87:$AG$90,0))=B91,1,""),""))</f>
        <v/>
      </c>
      <c r="D91" s="490" t="str">
        <f>IF($C91="","",0)</f>
        <v/>
      </c>
      <c r="E91" s="490" t="str">
        <f>IF($C91="","",0)</f>
        <v/>
      </c>
      <c r="F91" s="490" t="str">
        <f>IF($C91="","",0)</f>
        <v/>
      </c>
      <c r="G91" s="492"/>
      <c r="H91" s="490" t="str">
        <f>IF(C91="","",0)</f>
        <v/>
      </c>
      <c r="I91" s="491" t="str">
        <f>IF(C91="","",0)</f>
        <v/>
      </c>
      <c r="J91" s="491" t="str">
        <f>IF(C91="","",0)</f>
        <v/>
      </c>
      <c r="K91" s="493" t="str">
        <f>IF($C91="","",'Whole Building ccASHP Worksheet'!L15)</f>
        <v/>
      </c>
      <c r="N91" s="501"/>
    </row>
    <row r="92" spans="2:14" x14ac:dyDescent="0.3">
      <c r="B92" s="488" t="s">
        <v>2138</v>
      </c>
      <c r="C92" s="489" t="str">
        <f>IF(COUNTIF(Ventilation!B20:B29,"Energy Recovery Ventilator (ERV)")=0,"",COUNTIF(Ventilation!B20:B29,"Energy Recovery Ventilator (ERV)"))</f>
        <v/>
      </c>
      <c r="D92" s="490" t="str">
        <f>IF($C92="","",H92/C92)</f>
        <v/>
      </c>
      <c r="E92" s="490" t="str">
        <f>IF($C92="","",I92/C92)</f>
        <v/>
      </c>
      <c r="F92" s="490" t="str">
        <f>IF($C92="","",J92/C92)</f>
        <v/>
      </c>
      <c r="G92" s="672"/>
      <c r="H92" s="490" t="str">
        <f>IF(C92="","",SUMIF(Calculations!AI72:AI81,"&gt;0",Calculations!AH72:AH81))</f>
        <v/>
      </c>
      <c r="I92" s="490" t="str">
        <f>IF(C92="","",SUMIF(Calculations!AI72:AI81,"&gt;0",Calculations!AG72:AG81))</f>
        <v/>
      </c>
      <c r="J92" s="490" t="str">
        <f>IF(C92="","",SUMIF(Calculations!AI72:AI81,"&gt;0"))</f>
        <v/>
      </c>
      <c r="K92" s="493" t="str">
        <f>IF(C92="","",SUM(Calculations!AW72:AW81))</f>
        <v/>
      </c>
      <c r="N92" s="501"/>
    </row>
    <row r="93" spans="2:14" x14ac:dyDescent="0.3">
      <c r="B93" s="488" t="s">
        <v>2139</v>
      </c>
      <c r="C93" s="489" t="str">
        <f>IF(COUNTIF(Ventilation!B20:B29,"Heat Recovery Ventilator (HRV)")=0,"",COUNTIF(Ventilation!B20:B29,"Heat Recovery Ventilator (HRV)"))</f>
        <v/>
      </c>
      <c r="D93" s="490" t="str">
        <f>IF($C93="","",H93/C93)</f>
        <v/>
      </c>
      <c r="E93" s="490" t="str">
        <f>IF($C93="","",I93/C93)</f>
        <v/>
      </c>
      <c r="F93" s="490" t="str">
        <f>IF($C93="","",J93/C93)</f>
        <v/>
      </c>
      <c r="G93" s="672"/>
      <c r="H93" s="490" t="str">
        <f>IF(C93="","",SUMIF(Calculations!AU72:AU81,"&gt;0",Calculations!AT72:AT81))</f>
        <v/>
      </c>
      <c r="I93" s="490" t="str">
        <f>IF(C93="","",SUMIF(Calculations!AU72:AU81,"&gt;0",Calculations!AS72:AS81))</f>
        <v/>
      </c>
      <c r="J93" s="490" t="str">
        <f>IF(C93="","",SUMIF(Calculations!AU72:AU81,"&gt;0"))</f>
        <v/>
      </c>
      <c r="K93" s="493" t="str">
        <f>IF(C93="","",SUM(Calculations!AX72:AX81))</f>
        <v/>
      </c>
      <c r="N93" s="501"/>
    </row>
    <row r="94" spans="2:14" x14ac:dyDescent="0.3">
      <c r="B94" s="488" t="s">
        <v>2140</v>
      </c>
      <c r="C94" s="489" t="str">
        <f>IF(SUMIF(Calculations!T88:T97,"&gt;0",Ventilation!G36:G45)=0,"",SUMIF(Calculations!T88:T97,"&gt;0",Ventilation!G36:G45))</f>
        <v/>
      </c>
      <c r="D94" s="490" t="str">
        <f>IF($C94="","",H94/C94)</f>
        <v/>
      </c>
      <c r="E94" s="490" t="str">
        <f>IF($C94="","",I94/$C94)</f>
        <v/>
      </c>
      <c r="F94" s="490" t="str">
        <f>IF($C94="","",J94/$C94)</f>
        <v/>
      </c>
      <c r="G94" s="672"/>
      <c r="H94" s="490" t="str" cm="1">
        <f t="array" ref="H94">IF(C94="","",SUMPRODUCT(--(Calculations!T88:T97&gt;0),Calculations!G88:G97,Calculations!S88:S97))</f>
        <v/>
      </c>
      <c r="I94" s="491" t="str" cm="1">
        <f t="array" ref="I94">IF(C94="","",SUMPRODUCT(--(Calculations!T88:T97&gt;0),Calculations!G88:G97,Calculations!R88:R97))</f>
        <v/>
      </c>
      <c r="J94" s="491" t="str" cm="1">
        <f t="array" ref="J94">IF(C94="","",SUMPRODUCT(--(Calculations!T88:T97&gt;0),Calculations!G88:G97,Calculations!T88:T97))</f>
        <v/>
      </c>
      <c r="K94" s="493" t="str">
        <f>IF(C94="","",SUM(Calculations!W88:W97))</f>
        <v/>
      </c>
      <c r="N94" s="501"/>
    </row>
    <row r="95" spans="2:14" ht="34" customHeight="1" x14ac:dyDescent="0.3">
      <c r="B95" s="825" t="s">
        <v>1631</v>
      </c>
      <c r="C95" s="987" t="str">
        <f>IF(SUM(C6:C91)=0,"",SUM(C6:C91))</f>
        <v/>
      </c>
      <c r="D95" s="495" t="str">
        <f>IF(H95="","",H95/C95)</f>
        <v/>
      </c>
      <c r="E95" s="496" t="str">
        <f>IF(I95="","",I95/C95)</f>
        <v/>
      </c>
      <c r="F95" s="496" t="str">
        <f>IF(J95="","",J95/D95)</f>
        <v/>
      </c>
      <c r="G95" s="497"/>
      <c r="H95" s="498" t="str">
        <f>IF($C95="","",SUM(H6:H91))</f>
        <v/>
      </c>
      <c r="I95" s="498" t="str">
        <f t="shared" ref="I95:J95" si="9">IF($C95="","",SUM(I6:I91))</f>
        <v/>
      </c>
      <c r="J95" s="498" t="str">
        <f t="shared" si="9"/>
        <v/>
      </c>
      <c r="K95" s="500">
        <f>IF(C95=0,"",SUM(K6:K88,K77))</f>
        <v>0</v>
      </c>
    </row>
    <row r="96" spans="2:14" hidden="1" x14ac:dyDescent="0.3">
      <c r="B96" s="825" t="s">
        <v>1632</v>
      </c>
      <c r="C96" s="494" t="str">
        <f>IF(SUM(C78:C80,C86:C91)=0,"",SUM(C78:C80,C86:C91))</f>
        <v/>
      </c>
      <c r="D96" s="495" t="str">
        <f>IF(H96="","",H96/C96)</f>
        <v/>
      </c>
      <c r="E96" s="496" t="str">
        <f>IF(I96="","",I96/C96)</f>
        <v/>
      </c>
      <c r="F96" s="496" t="str">
        <f>IF(J96="","",J96/D96)</f>
        <v/>
      </c>
      <c r="G96" s="497"/>
      <c r="H96" s="499" t="str">
        <f>IF($C96="","",SUM(H78:H80,H82:H84,H86:H91))</f>
        <v/>
      </c>
      <c r="I96" s="499" t="str">
        <f>IF($C96="","",SUM(I78:I80,I82:I84,I86:I91))</f>
        <v/>
      </c>
      <c r="J96" s="499" t="str">
        <f>IF($C96="","",SUM(J78:J80,J82:J84,J86:J91))</f>
        <v/>
      </c>
      <c r="K96" s="500">
        <f>IF(C96=0,"",SUM(K78:K80,K82:K84,K86:K91))</f>
        <v>0</v>
      </c>
    </row>
    <row r="97" spans="2:11" x14ac:dyDescent="0.3">
      <c r="B97" s="825" t="s">
        <v>2107</v>
      </c>
      <c r="C97" s="494">
        <f>SUM(C92:C94)</f>
        <v>0</v>
      </c>
      <c r="D97" s="490">
        <f>IFERROR(IF(H97="","",H97/C97),0)</f>
        <v>0</v>
      </c>
      <c r="E97" s="490">
        <f>IFERROR(IF(I97="","",I97/C97),0)</f>
        <v>0</v>
      </c>
      <c r="F97" s="490">
        <f>IFERROR(IF(J97="","",J97/C97),0)</f>
        <v>0</v>
      </c>
      <c r="H97" s="494">
        <f>SUM(H92:H94)</f>
        <v>0</v>
      </c>
      <c r="I97" s="494">
        <f>SUM(I92:I94)</f>
        <v>0</v>
      </c>
      <c r="J97" s="494">
        <f>SUM(J92:J94)</f>
        <v>0</v>
      </c>
      <c r="K97" s="503">
        <f>SUM(K92:K94)</f>
        <v>0</v>
      </c>
    </row>
    <row r="99" spans="2:11" ht="28" x14ac:dyDescent="0.3">
      <c r="H99" s="824" t="s">
        <v>1231</v>
      </c>
      <c r="I99" s="824" t="s">
        <v>807</v>
      </c>
      <c r="J99" s="824" t="s">
        <v>1685</v>
      </c>
      <c r="K99" s="824" t="s">
        <v>1886</v>
      </c>
    </row>
    <row r="100" spans="2:11" x14ac:dyDescent="0.3">
      <c r="H100" s="663" cm="1">
        <f t="array" ref="H100">SUM(Calculations!BU7:BU31,Calculations!CB40:CB64,SUMIF(Calculations!AI72:AI81,"&gt;0",Calculations!AJ72:AJ81),SUMIF(Calculations!AU72:AU81,"&gt;0",Calculations!AV72:AV81),SUMPRODUCT(--(Calculations!T88:T97&gt;0),Calculations!G88:G97,Calculations!U88:U97))</f>
        <v>0</v>
      </c>
      <c r="I100" s="502" t="str">
        <f>IF(OR(K100=0,H95=""),"",K100/H95)</f>
        <v/>
      </c>
      <c r="J100" s="752">
        <f>SUM(J6:J94)</f>
        <v>0</v>
      </c>
      <c r="K100" s="503">
        <f>SUM(K6:K94)</f>
        <v>0</v>
      </c>
    </row>
  </sheetData>
  <sheetProtection algorithmName="SHA-512" hashValue="ezH7WbsRneuisl3hd9+yMuvM7eB9KlzaDTtBkOLBEJjzZPtYL+q3qXBx963ZzyjY3/mCUz9LCN5PJWY5f/cE+w==" saltValue="gRjwXXTBuGp9EXjJwnuL2w==" spinCount="100000" sheet="1" objects="1" scenarios="1"/>
  <conditionalFormatting sqref="B6:K94">
    <cfRule type="expression" dxfId="5" priority="5" stopIfTrue="1">
      <formula>NOT($C6="")</formula>
    </cfRule>
  </conditionalFormatting>
  <conditionalFormatting sqref="D97:F97">
    <cfRule type="expression" dxfId="4" priority="2" stopIfTrue="1">
      <formula>NOT($C97="")</formula>
    </cfRule>
  </conditionalFormatting>
  <pageMargins left="0.7" right="0.7" top="0.75" bottom="0.75" header="0.3" footer="0.3"/>
  <pageSetup scale="5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0000"/>
  </sheetPr>
  <dimension ref="B1:CB98"/>
  <sheetViews>
    <sheetView showGridLines="0" topLeftCell="BI1" zoomScale="90" zoomScaleNormal="90" workbookViewId="0">
      <selection activeCell="AU7" sqref="AU7"/>
    </sheetView>
  </sheetViews>
  <sheetFormatPr defaultColWidth="9.1796875" defaultRowHeight="13" x14ac:dyDescent="0.3"/>
  <cols>
    <col min="1" max="1" width="3.453125" style="11" customWidth="1"/>
    <col min="2" max="2" width="4" style="11" customWidth="1"/>
    <col min="3" max="3" width="37" style="11" customWidth="1"/>
    <col min="4" max="4" width="11.453125" style="11" bestFit="1" customWidth="1"/>
    <col min="5" max="5" width="21" style="11" customWidth="1"/>
    <col min="6" max="6" width="15.26953125" style="11" customWidth="1"/>
    <col min="7" max="7" width="18.453125" style="11" bestFit="1" customWidth="1"/>
    <col min="8" max="8" width="46.81640625" style="11" bestFit="1" customWidth="1"/>
    <col min="9" max="9" width="32.1796875" style="11" customWidth="1"/>
    <col min="10" max="10" width="15.453125" style="11" customWidth="1"/>
    <col min="11" max="11" width="16.453125" style="10" customWidth="1"/>
    <col min="12" max="13" width="12.7265625" style="11" customWidth="1"/>
    <col min="14" max="14" width="34.81640625" style="11" customWidth="1"/>
    <col min="15" max="15" width="16.54296875" style="11" customWidth="1"/>
    <col min="16" max="17" width="9.1796875" style="11" customWidth="1"/>
    <col min="18" max="18" width="11.81640625" style="11" customWidth="1"/>
    <col min="19" max="19" width="14.54296875" style="11" customWidth="1"/>
    <col min="20" max="24" width="9.1796875" style="11" customWidth="1"/>
    <col min="25" max="25" width="11.26953125" style="11" bestFit="1" customWidth="1"/>
    <col min="26" max="26" width="15.54296875" style="11" customWidth="1"/>
    <col min="27" max="27" width="16.81640625" style="11" customWidth="1"/>
    <col min="28" max="28" width="13.26953125" style="11" customWidth="1"/>
    <col min="29" max="29" width="16.54296875" style="11" customWidth="1"/>
    <col min="30" max="30" width="15.81640625" style="11" customWidth="1"/>
    <col min="31" max="31" width="14.453125" style="11" customWidth="1"/>
    <col min="32" max="32" width="52.453125" style="11" bestFit="1" customWidth="1"/>
    <col min="33" max="33" width="35.81640625" style="11" customWidth="1"/>
    <col min="34" max="34" width="22.453125" style="11" customWidth="1"/>
    <col min="35" max="35" width="26.1796875" style="11" customWidth="1"/>
    <col min="36" max="36" width="22.453125" style="11" customWidth="1"/>
    <col min="37" max="37" width="12.81640625" style="11" bestFit="1" customWidth="1"/>
    <col min="38" max="41" width="16.54296875" style="11" customWidth="1"/>
    <col min="42" max="42" width="16" style="11" customWidth="1"/>
    <col min="43" max="43" width="17.453125" style="11" customWidth="1"/>
    <col min="44" max="44" width="15.453125" style="11" customWidth="1"/>
    <col min="45" max="48" width="15.1796875" style="11" customWidth="1"/>
    <col min="49" max="49" width="12.81640625" style="11" bestFit="1" customWidth="1"/>
    <col min="50" max="51" width="12.81640625" style="11" customWidth="1"/>
    <col min="52" max="52" width="14.1796875" style="11" customWidth="1"/>
    <col min="53" max="53" width="14.453125" style="11" customWidth="1"/>
    <col min="54" max="54" width="12.81640625" style="11" customWidth="1"/>
    <col min="55" max="59" width="14.453125" style="11" customWidth="1"/>
    <col min="60" max="61" width="12.81640625" style="11" bestFit="1" customWidth="1"/>
    <col min="62" max="62" width="11" style="11" customWidth="1"/>
    <col min="63" max="63" width="41" style="11" bestFit="1" customWidth="1"/>
    <col min="64" max="64" width="26.54296875" style="11" customWidth="1"/>
    <col min="65" max="65" width="46.81640625" style="11" bestFit="1" customWidth="1"/>
    <col min="66" max="66" width="10.54296875" style="11" customWidth="1"/>
    <col min="67" max="67" width="51.453125" style="11" bestFit="1" customWidth="1"/>
    <col min="68" max="68" width="12" style="11" customWidth="1"/>
    <col min="69" max="69" width="50.81640625" style="11" customWidth="1"/>
    <col min="70" max="70" width="9.1796875" style="11"/>
    <col min="71" max="72" width="16.7265625" style="11" bestFit="1" customWidth="1"/>
    <col min="73" max="73" width="12.81640625" style="11" customWidth="1"/>
    <col min="74" max="74" width="12.1796875" style="11" customWidth="1"/>
    <col min="75" max="75" width="9.1796875" style="11"/>
    <col min="76" max="76" width="56.54296875" style="11" bestFit="1" customWidth="1"/>
    <col min="77" max="77" width="10.453125" style="11" bestFit="1" customWidth="1"/>
    <col min="78" max="78" width="13.1796875" style="11" bestFit="1" customWidth="1"/>
    <col min="79" max="79" width="13.26953125" style="11" bestFit="1" customWidth="1"/>
    <col min="80" max="80" width="11.81640625" style="11" customWidth="1"/>
    <col min="81" max="16384" width="9.1796875" style="11"/>
  </cols>
  <sheetData>
    <row r="1" spans="2:73" x14ac:dyDescent="0.3">
      <c r="BK1" s="11" t="e">
        <f>INDEX(References!$BM$5:$BM$41,MATCH(BO7,References!$AY$5:$AY$41,0))</f>
        <v>#N/A</v>
      </c>
    </row>
    <row r="2" spans="2:73" x14ac:dyDescent="0.3">
      <c r="B2" s="60" t="s">
        <v>1385</v>
      </c>
      <c r="I2" s="11">
        <f>IF(LEFT('HVAC Worksheet'!B24,4)="Room",1,2)</f>
        <v>2</v>
      </c>
      <c r="L2" s="60"/>
      <c r="BA2" s="44" t="s">
        <v>182</v>
      </c>
      <c r="BC2" s="307">
        <v>0.3</v>
      </c>
      <c r="BD2" s="307"/>
      <c r="BE2" s="307"/>
      <c r="BF2" s="307"/>
      <c r="BG2" s="307"/>
      <c r="BI2" s="11" t="e">
        <f>13.5*I7</f>
        <v>#VALUE!</v>
      </c>
      <c r="BK2" s="307" t="e">
        <f>#REF!-BK1</f>
        <v>#REF!</v>
      </c>
      <c r="BS2" s="660"/>
      <c r="BT2" s="660"/>
    </row>
    <row r="4" spans="2:73" ht="31.5" customHeight="1" x14ac:dyDescent="0.3">
      <c r="C4" s="240"/>
      <c r="D4" s="219"/>
      <c r="E4" s="512"/>
      <c r="F4" s="1159" t="s">
        <v>178</v>
      </c>
      <c r="G4" s="1159" t="s">
        <v>967</v>
      </c>
      <c r="H4" s="508"/>
      <c r="I4" s="240"/>
      <c r="J4" s="220"/>
      <c r="K4" s="549" t="s">
        <v>46</v>
      </c>
      <c r="L4" s="550"/>
      <c r="M4" s="550"/>
      <c r="N4" s="550"/>
      <c r="O4" s="549" t="s">
        <v>1306</v>
      </c>
      <c r="P4" s="550"/>
      <c r="Q4" s="550"/>
      <c r="R4" s="550"/>
      <c r="S4" s="551"/>
      <c r="T4" s="549" t="s">
        <v>1346</v>
      </c>
      <c r="U4" s="550"/>
      <c r="V4" s="550"/>
      <c r="W4" s="550"/>
      <c r="X4" s="551"/>
      <c r="Y4" s="523"/>
      <c r="Z4" s="549" t="s">
        <v>1363</v>
      </c>
      <c r="AA4" s="219"/>
      <c r="AB4" s="220"/>
      <c r="AF4" s="10"/>
      <c r="AG4" s="230"/>
      <c r="AH4" s="552" t="s">
        <v>1312</v>
      </c>
      <c r="AI4" s="553"/>
      <c r="AJ4" s="549" t="s">
        <v>1307</v>
      </c>
      <c r="AK4" s="550"/>
      <c r="AL4" s="550"/>
      <c r="AM4" s="550"/>
      <c r="AN4" s="550"/>
      <c r="AO4" s="549"/>
      <c r="AP4" s="553" t="s">
        <v>1331</v>
      </c>
      <c r="AQ4" s="552" t="s">
        <v>762</v>
      </c>
      <c r="AR4" s="553" t="s">
        <v>762</v>
      </c>
      <c r="AS4" s="553" t="s">
        <v>1335</v>
      </c>
      <c r="AT4" s="553" t="s">
        <v>1335</v>
      </c>
      <c r="AU4" s="292" t="s">
        <v>1336</v>
      </c>
      <c r="AV4" s="552" t="s">
        <v>763</v>
      </c>
      <c r="AW4" s="553" t="s">
        <v>763</v>
      </c>
      <c r="AX4" s="292" t="s">
        <v>1336</v>
      </c>
      <c r="AY4" s="553" t="s">
        <v>1332</v>
      </c>
      <c r="AZ4" s="553" t="s">
        <v>1333</v>
      </c>
      <c r="BA4" s="292" t="s">
        <v>1337</v>
      </c>
      <c r="BB4" s="292" t="s">
        <v>1338</v>
      </c>
      <c r="BC4" s="553" t="s">
        <v>761</v>
      </c>
      <c r="BD4" s="553" t="s">
        <v>762</v>
      </c>
      <c r="BE4" s="553" t="s">
        <v>763</v>
      </c>
      <c r="BF4" s="553" t="s">
        <v>759</v>
      </c>
      <c r="BG4" s="553" t="s">
        <v>762</v>
      </c>
      <c r="BH4" s="553" t="s">
        <v>763</v>
      </c>
      <c r="BI4" s="231" t="s">
        <v>759</v>
      </c>
      <c r="BJ4" s="553" t="s">
        <v>1666</v>
      </c>
      <c r="BK4" s="553" t="s">
        <v>1340</v>
      </c>
      <c r="BL4" s="550"/>
      <c r="BM4" s="231"/>
      <c r="BO4" s="230"/>
      <c r="BP4" s="218"/>
      <c r="BQ4" s="219"/>
      <c r="BR4" s="219"/>
      <c r="BS4" s="553" t="s">
        <v>1668</v>
      </c>
      <c r="BT4" s="553" t="s">
        <v>1669</v>
      </c>
      <c r="BU4" s="553" t="s">
        <v>1231</v>
      </c>
    </row>
    <row r="5" spans="2:73" x14ac:dyDescent="0.3">
      <c r="C5" s="221" t="s">
        <v>184</v>
      </c>
      <c r="D5" s="222" t="s">
        <v>24</v>
      </c>
      <c r="E5" s="238" t="s">
        <v>10</v>
      </c>
      <c r="F5" s="1160"/>
      <c r="G5" s="1160"/>
      <c r="H5" s="509" t="s">
        <v>32</v>
      </c>
      <c r="I5" s="221" t="s">
        <v>37</v>
      </c>
      <c r="J5" s="223" t="s">
        <v>28</v>
      </c>
      <c r="K5" s="221" t="s">
        <v>26</v>
      </c>
      <c r="L5" s="222" t="s">
        <v>27</v>
      </c>
      <c r="M5" s="222" t="s">
        <v>101</v>
      </c>
      <c r="N5" s="222" t="s">
        <v>100</v>
      </c>
      <c r="O5" s="221" t="s">
        <v>26</v>
      </c>
      <c r="P5" s="222" t="s">
        <v>27</v>
      </c>
      <c r="Q5" s="222" t="s">
        <v>101</v>
      </c>
      <c r="R5" s="222" t="s">
        <v>100</v>
      </c>
      <c r="S5" s="222" t="s">
        <v>1656</v>
      </c>
      <c r="T5" s="221" t="s">
        <v>26</v>
      </c>
      <c r="U5" s="222" t="s">
        <v>27</v>
      </c>
      <c r="V5" s="222" t="s">
        <v>101</v>
      </c>
      <c r="W5" s="222" t="s">
        <v>100</v>
      </c>
      <c r="X5" s="222" t="s">
        <v>1655</v>
      </c>
      <c r="Y5" s="509" t="s">
        <v>236</v>
      </c>
      <c r="Z5" s="221" t="s">
        <v>1364</v>
      </c>
      <c r="AA5" s="222" t="s">
        <v>67</v>
      </c>
      <c r="AB5" s="223" t="s">
        <v>145</v>
      </c>
      <c r="AF5" s="10"/>
      <c r="AG5" s="232" t="s">
        <v>32</v>
      </c>
      <c r="AH5" s="232" t="s">
        <v>1310</v>
      </c>
      <c r="AI5" s="518" t="s">
        <v>1311</v>
      </c>
      <c r="AJ5" s="221" t="s">
        <v>26</v>
      </c>
      <c r="AK5" s="222" t="s">
        <v>27</v>
      </c>
      <c r="AL5" s="222" t="s">
        <v>101</v>
      </c>
      <c r="AM5" s="222" t="s">
        <v>100</v>
      </c>
      <c r="AN5" s="222" t="s">
        <v>1308</v>
      </c>
      <c r="AO5" s="221" t="s">
        <v>1325</v>
      </c>
      <c r="AP5" s="223" t="s">
        <v>1330</v>
      </c>
      <c r="AQ5" s="237" t="s">
        <v>764</v>
      </c>
      <c r="AR5" s="238" t="s">
        <v>229</v>
      </c>
      <c r="AS5" s="238" t="s">
        <v>760</v>
      </c>
      <c r="AT5" s="238" t="s">
        <v>1334</v>
      </c>
      <c r="AU5" s="238" t="s">
        <v>1324</v>
      </c>
      <c r="AV5" s="237" t="s">
        <v>764</v>
      </c>
      <c r="AW5" s="238" t="s">
        <v>229</v>
      </c>
      <c r="AX5" s="238" t="s">
        <v>1327</v>
      </c>
      <c r="AY5" s="238" t="s">
        <v>760</v>
      </c>
      <c r="AZ5" s="238" t="s">
        <v>760</v>
      </c>
      <c r="BA5" s="238" t="s">
        <v>1324</v>
      </c>
      <c r="BB5" s="238" t="s">
        <v>1324</v>
      </c>
      <c r="BC5" s="238" t="s">
        <v>760</v>
      </c>
      <c r="BD5" s="238" t="s">
        <v>230</v>
      </c>
      <c r="BE5" s="238" t="s">
        <v>230</v>
      </c>
      <c r="BF5" s="238" t="s">
        <v>230</v>
      </c>
      <c r="BG5" s="238" t="s">
        <v>1339</v>
      </c>
      <c r="BH5" s="238" t="s">
        <v>1339</v>
      </c>
      <c r="BI5" s="239" t="s">
        <v>1339</v>
      </c>
      <c r="BJ5" s="222" t="s">
        <v>1667</v>
      </c>
      <c r="BK5" s="222" t="s">
        <v>1341</v>
      </c>
      <c r="BL5" s="222" t="s">
        <v>38</v>
      </c>
      <c r="BM5" s="223" t="s">
        <v>36</v>
      </c>
      <c r="BO5" s="232" t="s">
        <v>32</v>
      </c>
      <c r="BP5" s="221" t="s">
        <v>146</v>
      </c>
      <c r="BQ5" s="222" t="s">
        <v>32</v>
      </c>
      <c r="BR5" s="222" t="s">
        <v>328</v>
      </c>
      <c r="BS5" s="222" t="s">
        <v>1869</v>
      </c>
      <c r="BT5" s="222" t="s">
        <v>1869</v>
      </c>
      <c r="BU5" s="222" t="s">
        <v>1670</v>
      </c>
    </row>
    <row r="6" spans="2:73" x14ac:dyDescent="0.3">
      <c r="B6" s="11" t="s">
        <v>66</v>
      </c>
      <c r="C6" s="234"/>
      <c r="D6" s="235"/>
      <c r="E6" s="235"/>
      <c r="F6" s="235"/>
      <c r="G6" s="235"/>
      <c r="H6" s="510"/>
      <c r="I6" s="234"/>
      <c r="J6" s="236"/>
      <c r="K6" s="234"/>
      <c r="L6" s="235"/>
      <c r="M6" s="235"/>
      <c r="N6" s="235"/>
      <c r="O6" s="234"/>
      <c r="P6" s="235"/>
      <c r="Q6" s="235"/>
      <c r="R6" s="235"/>
      <c r="S6" s="235"/>
      <c r="T6" s="234"/>
      <c r="U6" s="235"/>
      <c r="V6" s="235"/>
      <c r="W6" s="235"/>
      <c r="X6" s="235"/>
      <c r="Y6" s="510"/>
      <c r="Z6" s="234"/>
      <c r="AA6" s="235"/>
      <c r="AB6" s="236"/>
      <c r="AF6" s="12" t="s">
        <v>66</v>
      </c>
      <c r="AG6" s="233"/>
      <c r="AH6" s="233"/>
      <c r="AI6" s="519"/>
      <c r="AJ6" s="234"/>
      <c r="AK6" s="235"/>
      <c r="AL6" s="235"/>
      <c r="AM6" s="235"/>
      <c r="AN6" s="235"/>
      <c r="AO6" s="234"/>
      <c r="AP6" s="236"/>
      <c r="AQ6" s="234"/>
      <c r="AR6" s="229"/>
      <c r="AS6" s="229"/>
      <c r="AT6" s="229"/>
      <c r="AU6" s="229"/>
      <c r="AV6" s="234"/>
      <c r="AW6" s="229"/>
      <c r="AX6" s="229"/>
      <c r="AY6" s="229"/>
      <c r="AZ6" s="229"/>
      <c r="BA6" s="229"/>
      <c r="BB6" s="229"/>
      <c r="BC6" s="229"/>
      <c r="BD6" s="226"/>
      <c r="BE6" s="226"/>
      <c r="BF6" s="226"/>
      <c r="BG6" s="226"/>
      <c r="BH6" s="226"/>
      <c r="BI6" s="228"/>
      <c r="BJ6" s="226"/>
      <c r="BK6" s="226"/>
      <c r="BL6" s="235"/>
      <c r="BM6" s="236"/>
      <c r="BN6" s="12" t="s">
        <v>66</v>
      </c>
      <c r="BO6" s="227"/>
      <c r="BP6" s="224"/>
      <c r="BQ6" s="225"/>
      <c r="BR6" s="225"/>
      <c r="BS6" s="225"/>
      <c r="BT6" s="225"/>
      <c r="BU6" s="225"/>
    </row>
    <row r="7" spans="2:73" x14ac:dyDescent="0.3">
      <c r="B7" s="11">
        <v>1</v>
      </c>
      <c r="C7" s="15" t="str">
        <f>IF('HVAC Worksheet'!B17="","",'HVAC Worksheet'!B17)</f>
        <v/>
      </c>
      <c r="D7" s="13" t="str">
        <f>IF('HVAC Worksheet'!C17="","",'HVAC Worksheet'!C17)</f>
        <v/>
      </c>
      <c r="E7" s="13" t="str">
        <f>IF('HVAC Worksheet'!E17="","",'HVAC Worksheet'!E17)</f>
        <v/>
      </c>
      <c r="F7" s="13" t="str">
        <f>IF('HVAC Worksheet'!T17="","",'HVAC Worksheet'!T17)</f>
        <v/>
      </c>
      <c r="G7" s="590" t="str">
        <f>IF('HVAC Worksheet'!V17="","",'HVAC Worksheet'!V17)</f>
        <v/>
      </c>
      <c r="H7" s="511" t="str">
        <f t="shared" ref="H7:H31" si="0">C7&amp;" "&amp;D7&amp;" "&amp;E7</f>
        <v xml:space="preserve">  </v>
      </c>
      <c r="I7" s="15" t="str">
        <f>IF('HVAC Worksheet'!H17="","",'HVAC Worksheet'!H17)</f>
        <v/>
      </c>
      <c r="J7" s="14" t="str">
        <f>IF('HVAC Worksheet'!I17="","",'HVAC Worksheet'!I17)</f>
        <v/>
      </c>
      <c r="K7" s="15" t="str">
        <f>IF(LEFT('HVAC Worksheet'!B17,4)="Room",Calculations!L7,IF('HVAC Worksheet'!J17="","",'HVAC Worksheet'!J17))</f>
        <v/>
      </c>
      <c r="L7" s="13" t="str">
        <f>IF('HVAC Worksheet'!K17="","",'HVAC Worksheet'!K17)</f>
        <v/>
      </c>
      <c r="M7" s="13" t="str">
        <f>IF($H7="  ","",IF('HVAC Worksheet'!L17="",0,'HVAC Worksheet'!L17))</f>
        <v/>
      </c>
      <c r="N7" s="13" t="str">
        <f>IF($H7="  ","",IF('HVAC Worksheet'!M17="",0,'HVAC Worksheet'!M17))</f>
        <v/>
      </c>
      <c r="O7" s="15" t="str">
        <f>IF(H7="  ","",INDEX(HVAC_T1T2ReferenceTable,MATCH(H7,References!$AY$4:$AY$44,0),2))</f>
        <v/>
      </c>
      <c r="P7" s="13" t="str">
        <f t="shared" ref="P7:P31" si="1">IF($H7="  ","",VLOOKUP($H7,HVAC_T1T2ReferenceTable,3,FALSE))</f>
        <v/>
      </c>
      <c r="Q7" s="13" t="str">
        <f t="shared" ref="Q7:Q31" si="2">IF($H7="  ","",VLOOKUP($H7,HVAC_T1T2ReferenceTable,4,FALSE))</f>
        <v/>
      </c>
      <c r="R7" s="13" t="str">
        <f t="shared" ref="R7:R31" si="3">IF($H7="  ","",VLOOKUP($H7,HVAC_T1T2ReferenceTable,5,FALSE))</f>
        <v/>
      </c>
      <c r="S7" s="13" t="str">
        <f>IF(LEFT(H7,4)="Room",References!$AU$4,"")</f>
        <v/>
      </c>
      <c r="T7" s="15" t="str">
        <f t="shared" ref="T7:T31" si="4">IF(AND(K7="",O7&lt;&gt;0),"",IF(K7&gt;=O7,"PASS","FAIL"))</f>
        <v/>
      </c>
      <c r="U7" s="13" t="str">
        <f t="shared" ref="U7:U31" si="5">IF(AND(L7="",P7&lt;&gt;0),"",IF(L7&gt;=P7,"PASS","FAIL"))</f>
        <v/>
      </c>
      <c r="V7" s="13" t="str">
        <f t="shared" ref="V7:V31" si="6">IF(AND(M7="",Q7&lt;&gt;0),"",IF(M7&gt;=Q7,"PASS","FAIL"))</f>
        <v/>
      </c>
      <c r="W7" s="13" t="str">
        <f t="shared" ref="W7:W31" si="7">IF(AND(N7="",R7&lt;&gt;0),"",IF(N7&gt;=R7,"PASS","FAIL"))</f>
        <v/>
      </c>
      <c r="X7" s="13" t="str">
        <f>IF(AND(N7="",R7&lt;&gt;0),"",IF(LEFT(H7,4)&lt;&gt;"Room","PASS",IF(LEFT(F7,4)&lt;&gt;"Room","FAIL",IF('HVAC Worksheet'!Y17&lt;=S7,"PASS","FAIL"))))</f>
        <v/>
      </c>
      <c r="Y7" s="511" t="str">
        <f>IF(AND(T7="PASS",U7="PASS",V7="PASS",W7="PASS",X7="PASS"),"PASS","FAIL")</f>
        <v>FAIL</v>
      </c>
      <c r="Z7" s="15" t="str">
        <f t="shared" ref="Z7:Z31" si="8">BuildingType</f>
        <v>Select …</v>
      </c>
      <c r="AA7" s="530" t="e">
        <f>IF(OR(Z7="",Z7="… please select …"),0,INDEX(References!$H$22:$H$43,MATCH(Z7,References!$G$22:$G$43,0)))</f>
        <v>#N/A</v>
      </c>
      <c r="AB7" s="61" t="e">
        <f>IF(OR(Z7="",Z7="… please select …"),0,INDEX(References!$I$22:$I$43,MATCH(Z7,References!$G$22:$G$43,0)))</f>
        <v>#N/A</v>
      </c>
      <c r="AF7" s="11">
        <v>1</v>
      </c>
      <c r="AG7" s="21" t="str">
        <f t="shared" ref="AG7:AG31" si="9">C7&amp;" "&amp;D7&amp;" "&amp;E7&amp;" "&amp;F7</f>
        <v xml:space="preserve">   </v>
      </c>
      <c r="AH7" s="21" t="str">
        <f>IF(OR('HVAC Worksheet'!$T17="",'HVAC Worksheet'!T17="None"),IF($H7="  ","","Baseline "&amp;INDEX(References!$W$4:$W$44,MATCH($H7,References!$T$4:$T$44,0))),"Existing "&amp;'HVAC Worksheet'!$T17)</f>
        <v/>
      </c>
      <c r="AI7" s="89" t="e">
        <f>IF(OR('HVAC Worksheet'!U17="",'HVAC Worksheet'!U17="None"),IF(H7="","","Baseline "&amp;INDEX(References!$X$4:$X$44,MATCH($H7,References!$T$4:$T$44,0))),"Existing "&amp;'HVAC Worksheet'!U17)</f>
        <v>#N/A</v>
      </c>
      <c r="AJ7" s="342" t="str">
        <f>_xlfn.IFNA(IF(OR('HVAC Worksheet'!X17=0,'HVAC Worksheet'!X17=""),IF(OR(LEFT(H7,3)="pac",LEFT(H7,4)="Room"),0,INDEX(References!$BL$5:$BL$44,MATCH(H7,References!$AY$5:$AY$44,0))),'HVAC Worksheet'!X17),"")</f>
        <v/>
      </c>
      <c r="AK7" s="521" t="str">
        <f>IF(H7="  ","",IF('HVAC Worksheet'!Y17="",IF(LEFT(H7,3)="Pac",(INDEX(References!$BM$4:$BM$44,MATCH(H7,References!$AY$4:$AY$44,0)))-(0.3*I7*12000/1000),INDEX(References!$BM$4:$BM$44,MATCH(H7,References!$AY$4:$AY$44,0))),'HVAC Worksheet'!Y17))</f>
        <v/>
      </c>
      <c r="AL7" s="765" t="str">
        <f>IF(H7="  ","",IF(OR($AI7="Existing Gas",$AI7="Existing Oil",$AI7="Existing Propane",$AI7="Baseline New Construction"),0,IF(AND('HVAC Worksheet'!AA17=0,'HVAC Worksheet'!Z17=0),IF(LEFT(H7,3)="pac",0,INDEX(References!$BN$4:$BN$44,MATCH(H7,References!$AY$4:$AY$44,0))),IF(AND('HVAC Worksheet'!AA17&gt;0,'HVAC Worksheet'!Z17=0),'HVAC Worksheet'!AA17*References!$B$49,'HVAC Worksheet'!Z17))))</f>
        <v/>
      </c>
      <c r="AM7" s="767" t="str">
        <f>IF($H7="  ","",IF(OR($AI7="Existing Gas",$AI7="Existing Oil",$AI7="Existing Propane",$AI7="Baseline New Construction"),0,IF(OR('HVAC Worksheet'!AA17="",'HVAC Worksheet'!AA17=0),IF(LEFT(H7,3)="Pac",(INDEX(References!$BN$4:$BN$44,MATCH(H7,References!$AY$4:$AY$44,0)))-INDEX(References!$BO$4:$BO$44,MATCH(H7,References!$AY$4:$AY$44,0))*I7*12000/1000,INDEX(References!$BO$4:$BO$44,MATCH(H7,References!$AY$4:$AY$44,0))),'HVAC Worksheet'!AA17)))</f>
        <v/>
      </c>
      <c r="AN7" s="781" t="str">
        <f>IF($H7="  ","",IF(OR($AI7="Existing Gas",$AI7="Existing Oil",$AI7="Existing Propane",$AI7="Baseline New Construction"),IF(OR('HVAC Worksheet'!AB17="",'HVAC Worksheet'!AB17=0),INDEX(References!$E$136:$E$140,MATCH(AI7,References!$D$136:$D$140,0)),'HVAC Worksheet'!AB17),0))</f>
        <v/>
      </c>
      <c r="AO7" s="766" t="e">
        <f>IF(OR(LEFT(AI7,8)="Existing",RIGHT(AI7,16)="New Construction"),References!$B$33,1)</f>
        <v>#N/A</v>
      </c>
      <c r="AP7" s="525">
        <f>References!$B$37</f>
        <v>15</v>
      </c>
      <c r="AQ7" s="212" t="e">
        <f>IF(AND(AK7&gt;0,L7&gt;0),ROUND((I7*12)*((1/AK7)-(1/L7)),References!$B$40),0)</f>
        <v>#VALUE!</v>
      </c>
      <c r="AR7" s="308" t="e">
        <f>IF(AND(AK7&gt;0,L7&gt;0),ROUND((J7*I7*12)*((1/AK7)-(1/L7)),References!$B$40),0)</f>
        <v>#VALUE!</v>
      </c>
      <c r="AS7" s="308" t="e">
        <f>IF(AND(AJ7=0,AK7=0),0,IF(AJ7&gt;0,ROUND((I7*12)*((1/AJ7)-(1/K7))*AA7,References!$B$43),ROUND((I7*12)*((1/AK7)-(1/L7))*AA7,References!$B$43)))</f>
        <v>#VALUE!</v>
      </c>
      <c r="AT7" s="308" t="e">
        <f>AS7*References!$B$29</f>
        <v>#VALUE!</v>
      </c>
      <c r="AU7" s="308" t="e">
        <f>IF(OR(AN7=0,G7=1,G7=2),0,(I7*12000/AN7)*AB7*AO7/1000000)</f>
        <v>#VALUE!</v>
      </c>
      <c r="AV7" s="212">
        <f>IF(AND(N7&gt;0,AM7&gt;0,N7&lt;&gt;""),ROUND((I7*12)*((1/(AM7))-(1/(N7))),References!$B$40),IF(AND(M7&gt;0,AL7&gt;0,M7&lt;&gt;""),ROUND((I7*12)*(1/(AL7/3.412))-(1/(M7/3.412)),References!$B$40),IF(AND(N7&gt;0,N7&lt;&gt;""),ROUND((I7*12)*-(1/(N7/3.412)),References!$B$40),IF(AND(M7&gt;0,M7&lt;&gt;""),ROUND((I7*12)*-(1/(M7/3.412)),References!$B$40),0))))</f>
        <v>0</v>
      </c>
      <c r="AW7" s="308" t="e">
        <f>AV7*J7</f>
        <v>#VALUE!</v>
      </c>
      <c r="AX7" s="308" t="e">
        <f>ROUND(AU7*AN7*AP7,References!$B$43)</f>
        <v>#VALUE!</v>
      </c>
      <c r="AY7" s="308" t="e">
        <f>IF(AND(AL7&gt;0,M7&gt;0),ROUND((I7*12)*((1/AL7)-(1/M7))*AB7*AO7,References!$B$43),IF(AND(AM7&gt;0,N7&gt;0),ROUND((I7*12)*((1/AM7)-(1/N7))*AB7*AO7/3.413,References!$B$43),0))</f>
        <v>#VALUE!</v>
      </c>
      <c r="AZ7" s="767" t="e">
        <f>IF(AND(OR($AI7="Existing Gas",$AI7="Existing Oil",$AI7="Existing Propane",$AI7="Baseline New Construction"),RIGHT(C7,10)="Heat Pumps"),IF(AND(M7&gt;0,M7&lt;&gt;""),ROUND(((I7*12)*((1/M7))*AB7*AO7)-AX7,References!$B$43),IF(AND(N7&gt;0,N7&lt;&gt;""),ROUND(((I7*12)*((1/N7))*AB7*AO7/3.412)-AX7,References!$B$43),0)),0)</f>
        <v>#N/A</v>
      </c>
      <c r="BA7" s="308" t="e">
        <f>(AY7*References!$B$29)-(AZ7*References!$B$29)</f>
        <v>#VALUE!</v>
      </c>
      <c r="BB7" s="308" t="e">
        <f>BA7+AU7</f>
        <v>#VALUE!</v>
      </c>
      <c r="BC7" s="308" t="e">
        <f>AS7+AY7-AZ7</f>
        <v>#VALUE!</v>
      </c>
      <c r="BD7" s="343" t="e">
        <f>AS7*J7</f>
        <v>#VALUE!</v>
      </c>
      <c r="BE7" s="343" t="e">
        <f>(AY7-AZ7)*J7</f>
        <v>#VALUE!</v>
      </c>
      <c r="BF7" s="343" t="e">
        <f>BD7+BE7</f>
        <v>#VALUE!</v>
      </c>
      <c r="BG7" s="343" t="e">
        <f>AT7*J7</f>
        <v>#VALUE!</v>
      </c>
      <c r="BH7" s="343" t="e">
        <f>BB7*J7</f>
        <v>#VALUE!</v>
      </c>
      <c r="BI7" s="16" t="e">
        <f>BG7+BH7</f>
        <v>#VALUE!</v>
      </c>
      <c r="BJ7" s="343" t="e">
        <f>AS7+IF(AY7&gt;0,AY7,0)</f>
        <v>#VALUE!</v>
      </c>
      <c r="BK7" s="343" t="e">
        <f>BD7+IF(BE7&gt;0,BE7,0)</f>
        <v>#VALUE!</v>
      </c>
      <c r="BL7" s="63">
        <f>IF(Y7="FAIL",0,VLOOKUP(H7,T1T2_ReferenceTable,6,FALSE)*BJ7)</f>
        <v>0</v>
      </c>
      <c r="BM7" s="526">
        <f>IF(Y7="PASS",BL7*J7,0)</f>
        <v>0</v>
      </c>
      <c r="BN7" s="11">
        <v>1</v>
      </c>
      <c r="BO7" s="561" t="str">
        <f>H7</f>
        <v xml:space="preserve">  </v>
      </c>
      <c r="BP7" s="62" t="str">
        <f>IF(AND(Y7="PASS",AND(RIGHT(C7,18)&lt;&gt;"Climate Heat Pumps",LEFT(C7,4)&lt;&gt;"Cold")),IF(LEFT(H7,4)="Room","Tier 0","Tier 1"),"")</f>
        <v/>
      </c>
      <c r="BQ7" s="89" t="str">
        <f>BO7&amp;" "&amp;BP7</f>
        <v xml:space="preserve">   </v>
      </c>
      <c r="BR7" s="89" t="str">
        <f>IF(Y7="FAIL","",INDEX(References!$AH$4:$AH$90,MATCH(Calculations!BQ7,References!$AG$4:$AG$90,0)))</f>
        <v/>
      </c>
      <c r="BS7" s="88" t="e">
        <f>BD7*References!$B$21+IF(BE7&lt;0,0,BE7*References!$B$25)</f>
        <v>#VALUE!</v>
      </c>
      <c r="BT7" s="768" t="e">
        <f>IF(BE7&gt;0,0,BE7*References!$B$25)+AU7*INDEX(References!$F$136:$F$142,MATCH(AI7,References!$D$136:$D$142,0))</f>
        <v>#VALUE!</v>
      </c>
      <c r="BU7" s="88">
        <f>IF(BR7="",0,ROUND(INDEX(References!$E$118:$E$132,MATCH('HVAC Worksheet'!B17,References!$D$118:$D$132,0))*AQ7*J7,References!$B$40))</f>
        <v>0</v>
      </c>
    </row>
    <row r="8" spans="2:73" x14ac:dyDescent="0.3">
      <c r="B8" s="11">
        <v>2</v>
      </c>
      <c r="C8" s="15" t="str">
        <f>IF('HVAC Worksheet'!B18="","",'HVAC Worksheet'!B18)</f>
        <v/>
      </c>
      <c r="D8" s="13" t="str">
        <f>IF('HVAC Worksheet'!C18="","",'HVAC Worksheet'!C18)</f>
        <v/>
      </c>
      <c r="E8" s="13" t="str">
        <f>IF('HVAC Worksheet'!E18="","",'HVAC Worksheet'!E18)</f>
        <v/>
      </c>
      <c r="F8" s="13" t="str">
        <f>IF('HVAC Worksheet'!T18="","",'HVAC Worksheet'!T18)</f>
        <v/>
      </c>
      <c r="G8" s="590" t="str">
        <f>IF('HVAC Worksheet'!V18="","",'HVAC Worksheet'!V18)</f>
        <v/>
      </c>
      <c r="H8" s="511" t="str">
        <f t="shared" si="0"/>
        <v xml:space="preserve">  </v>
      </c>
      <c r="I8" s="15" t="str">
        <f>IF('HVAC Worksheet'!H18="","",'HVAC Worksheet'!H18)</f>
        <v/>
      </c>
      <c r="J8" s="14" t="str">
        <f>IF('HVAC Worksheet'!I18="","",'HVAC Worksheet'!I18)</f>
        <v/>
      </c>
      <c r="K8" s="15" t="str">
        <f>IF(LEFT('HVAC Worksheet'!B18,4)="Room",Calculations!L8,IF('HVAC Worksheet'!J18="","",'HVAC Worksheet'!J18))</f>
        <v/>
      </c>
      <c r="L8" s="13" t="str">
        <f>IF('HVAC Worksheet'!K18="","",'HVAC Worksheet'!K18)</f>
        <v/>
      </c>
      <c r="M8" s="13" t="str">
        <f>IF($H8="  ","",IF('HVAC Worksheet'!L18="",0,'HVAC Worksheet'!L18))</f>
        <v/>
      </c>
      <c r="N8" s="13" t="str">
        <f>IF($H8="  ","",IF('HVAC Worksheet'!M18="",0,'HVAC Worksheet'!M18))</f>
        <v/>
      </c>
      <c r="O8" s="15" t="str">
        <f>IF(H8="  ","",INDEX(HVAC_T1T2ReferenceTable,MATCH(H8,References!$AY$4:$AY$44,0),2))</f>
        <v/>
      </c>
      <c r="P8" s="13" t="str">
        <f t="shared" si="1"/>
        <v/>
      </c>
      <c r="Q8" s="13" t="str">
        <f t="shared" si="2"/>
        <v/>
      </c>
      <c r="R8" s="13" t="str">
        <f t="shared" si="3"/>
        <v/>
      </c>
      <c r="S8" s="13" t="str">
        <f>IF(LEFT(H8,4)="Room",References!$AU$4,"")</f>
        <v/>
      </c>
      <c r="T8" s="15" t="str">
        <f t="shared" si="4"/>
        <v/>
      </c>
      <c r="U8" s="13" t="str">
        <f t="shared" si="5"/>
        <v/>
      </c>
      <c r="V8" s="13" t="str">
        <f t="shared" si="6"/>
        <v/>
      </c>
      <c r="W8" s="13" t="str">
        <f t="shared" si="7"/>
        <v/>
      </c>
      <c r="X8" s="13" t="str">
        <f>IF(AND(N8="",R8&lt;&gt;0),"",IF(LEFT(H8,4)&lt;&gt;"Room","PASS",IF(LEFT(F8,4)&lt;&gt;"Room","FAIL",IF('HVAC Worksheet'!Y18&lt;=S8,"PASS","FAIL"))))</f>
        <v/>
      </c>
      <c r="Y8" s="511" t="str">
        <f t="shared" ref="Y8:Y31" si="10">IF(AND(T8="PASS",U8="PASS",V8="PASS",W8="PASS",X8="PASS"),"PASS","FAIL")</f>
        <v>FAIL</v>
      </c>
      <c r="Z8" s="15" t="str">
        <f t="shared" si="8"/>
        <v>Select …</v>
      </c>
      <c r="AA8" s="530" t="e">
        <f>IF(OR(Z8="",Z8="… please select …"),0,INDEX(References!$H$22:$H$43,MATCH(Z8,References!$G$22:$G$43,0)))</f>
        <v>#N/A</v>
      </c>
      <c r="AB8" s="61" t="e">
        <f>IF(OR(Z8="",Z8="… please select …"),0,INDEX(References!$I$22:$I$43,MATCH(Z8,References!$G$22:$G$43,0)))</f>
        <v>#N/A</v>
      </c>
      <c r="AF8" s="10">
        <v>2</v>
      </c>
      <c r="AG8" s="21" t="str">
        <f t="shared" si="9"/>
        <v xml:space="preserve">   </v>
      </c>
      <c r="AH8" s="21" t="str">
        <f>IF(OR('HVAC Worksheet'!$T18="",'HVAC Worksheet'!T18="None"),IF($H8="  ","","Baseline "&amp;INDEX(References!$W$4:$W$44,MATCH($H8,References!$T$4:$T$44,0))),"Existing "&amp;'HVAC Worksheet'!$T18)</f>
        <v/>
      </c>
      <c r="AI8" s="89" t="str">
        <f>IF(OR('HVAC Worksheet'!U18="",'HVAC Worksheet'!U18="None"),IF(I8="","","Baseline "&amp;INDEX(References!$X$4:$X$44,MATCH($H8,References!$T$4:$T$44,0))),"Existing "&amp;'HVAC Worksheet'!U18)</f>
        <v/>
      </c>
      <c r="AJ8" s="342" t="str">
        <f>_xlfn.IFNA(IF(OR('HVAC Worksheet'!X18=0,'HVAC Worksheet'!X18=""),IF(OR(LEFT(H8,3)="pac",LEFT(H8,4)="Room"),0,INDEX(References!$BL$5:$BL$44,MATCH(H8,References!$AY$5:$AY$44,0))),'HVAC Worksheet'!X18),"")</f>
        <v/>
      </c>
      <c r="AK8" s="343" t="str">
        <f>IF(H8="  ","",IF('HVAC Worksheet'!Y18="",IF(LEFT(H8,3)="Pac",(INDEX(References!$BM$4:$BM$44,MATCH(H8,References!$AY$4:$AY$44,0)))-(0.3*I8*12000/1000),INDEX(References!$BM$4:$BM$44,MATCH(H8,References!$AY$4:$AY$44,0))),'HVAC Worksheet'!Y18))</f>
        <v/>
      </c>
      <c r="AL8" s="765" t="str">
        <f>IF(H8="  ","",IF(OR($AI8="Existing Gas",$AI8="Existing Oil",$AI8="Existing Propane",$AI8="Baseline New Construction"),0,IF(AND('HVAC Worksheet'!AA18=0,'HVAC Worksheet'!Z18=0),IF(LEFT(H8,3)="pac",0,INDEX(References!$BN$4:$BN$44,MATCH(H8,References!$AY$4:$AY$44,0))),IF(AND('HVAC Worksheet'!AA18&gt;0,'HVAC Worksheet'!Z18=0),'HVAC Worksheet'!AA18*References!$B$49,'HVAC Worksheet'!Z18))))</f>
        <v/>
      </c>
      <c r="AM8" s="765" t="str">
        <f>IF($H8="  ","",IF(OR($AI8="Existing Gas",$AI8="Existing Oil",$AI8="Existing Propane",$AI8="Baseline New Construction"),0,IF(OR('HVAC Worksheet'!AA18="",'HVAC Worksheet'!AA18=0),IF(LEFT(H8,3)="Pac",(INDEX(References!$BN$4:$BN$44,MATCH(H8,References!$AY$4:$AY$44,0)))-INDEX(References!$BO$4:$BO$44,MATCH(H8,References!$AY$4:$AY$44,0))*I8*12000/1000,INDEX(References!$BO$4:$BO$44,MATCH(H8,References!$AY$4:$AY$44,0))),'HVAC Worksheet'!AA18)))</f>
        <v/>
      </c>
      <c r="AN8" s="781" t="str">
        <f>IF($H8="  ","",IF(OR($AI8="Existing Gas",$AI8="Existing Oil",$AI8="Existing Propane",$AI8="Baseline New Construction"),IF(OR('HVAC Worksheet'!AB18="",'HVAC Worksheet'!AB18=0),INDEX(References!$E$136:$E$140,MATCH(AI8,References!$D$136:$D$140,0)),'HVAC Worksheet'!AB18),0))</f>
        <v/>
      </c>
      <c r="AO8" s="766">
        <f>IF(OR(LEFT(AI8,8)="Existing",RIGHT(AI8,16)="New Construction"),References!$B$33,1)</f>
        <v>1</v>
      </c>
      <c r="AP8" s="525">
        <f>References!$B$37</f>
        <v>15</v>
      </c>
      <c r="AQ8" s="212" t="e">
        <f>IF(AND(AK8&gt;0,L8&gt;0),ROUND((I8*12)*((1/AK8)-(1/L8)),References!$B$40),0)</f>
        <v>#VALUE!</v>
      </c>
      <c r="AR8" s="308" t="e">
        <f>IF(AND(AK8&gt;0,L8&gt;0),ROUND((J8*I8*12)*((1/AK8)-(1/L8)),References!$B$40),0)</f>
        <v>#VALUE!</v>
      </c>
      <c r="AS8" s="308" t="e">
        <f>IF(AND(AJ8=0,AK8=0),0,IF(AJ8&gt;0,ROUND((I8*12)*((1/AJ8)-(1/K8))*AA8,References!$B$43),ROUND((I8*12)*((1/AK8)-(1/L8))*AA8,References!$B$43)))</f>
        <v>#VALUE!</v>
      </c>
      <c r="AT8" s="308" t="e">
        <f>AS8*References!$B$29</f>
        <v>#VALUE!</v>
      </c>
      <c r="AU8" s="308" t="e">
        <f t="shared" ref="AU8:AU31" si="11">IF(OR(AN8=0,G8=1,G8=2),0,(I8*12000/AN8)*AB8*AO8/1000000)</f>
        <v>#VALUE!</v>
      </c>
      <c r="AV8" s="212">
        <f>IF(AND(N8&gt;0,AM8&gt;0,N8&lt;&gt;""),ROUND((I8*12)*((1/(AM8))-(1/(N8))),References!$B$40),IF(AND(M8&gt;0,AL8&gt;0,M8&lt;&gt;""),ROUND((I8*12)*(1/(AL8/3.412))-(1/(M8/3.412)),References!$B$40),IF(AND(N8&gt;0,N8&lt;&gt;""),ROUND((I8*12)*-(1/(N8/3.412)),References!$B$40),IF(AND(M8&gt;0,M8&lt;&gt;""),ROUND((I8*12)*-(1/(M8/3.412)),References!$B$40),0))))</f>
        <v>0</v>
      </c>
      <c r="AW8" s="308" t="e">
        <f t="shared" ref="AW8:AW31" si="12">AV8*J8</f>
        <v>#VALUE!</v>
      </c>
      <c r="AX8" s="308" t="e">
        <f>ROUND(AU8*AN8*AP8,References!$B$43)</f>
        <v>#VALUE!</v>
      </c>
      <c r="AY8" s="308" t="e">
        <f>IF(AND(AL8&gt;0,M8&gt;0),ROUND((I8*12)*((1/AL8)-(1/M8))*AB8*AO8,References!$B$43),IF(AND(AM8&gt;0,N8&gt;0),ROUND((I8*12)*((1/AM8)-(1/N8))*AB8*AO8/3.413,References!$B$43),0))</f>
        <v>#VALUE!</v>
      </c>
      <c r="AZ8" s="767">
        <f>IF(AND(OR($AI8="Existing Gas",$AI8="Existing Oil",$AI8="Existing Propane",$AI8="Baseline New Construction"),RIGHT(C8,10)="Heat Pumps"),IF(AND(M8&gt;0,M8&lt;&gt;""),ROUND(((I8*12)*((1/M8))*AB8*AO8)-AX8,References!$B$43),IF(AND(N8&gt;0,N8&lt;&gt;""),ROUND(((I8*12)*((1/N8))*AB8*AO8/3.412)-AX8,References!$B$43),0)),0)</f>
        <v>0</v>
      </c>
      <c r="BA8" s="308" t="e">
        <f>(AY8*References!$B$29)-(AZ8*References!$B$29)</f>
        <v>#VALUE!</v>
      </c>
      <c r="BB8" s="308" t="e">
        <f t="shared" ref="BB8:BB31" si="13">BA8+AU8</f>
        <v>#VALUE!</v>
      </c>
      <c r="BC8" s="308" t="e">
        <f t="shared" ref="BC8:BC31" si="14">AS8+AY8-AZ8</f>
        <v>#VALUE!</v>
      </c>
      <c r="BD8" s="343" t="e">
        <f t="shared" ref="BD8:BD31" si="15">AS8*J8</f>
        <v>#VALUE!</v>
      </c>
      <c r="BE8" s="343" t="e">
        <f t="shared" ref="BE8:BE31" si="16">(AY8-AZ8)*J8</f>
        <v>#VALUE!</v>
      </c>
      <c r="BF8" s="343" t="e">
        <f t="shared" ref="BF8:BF31" si="17">BD8+BE8</f>
        <v>#VALUE!</v>
      </c>
      <c r="BG8" s="343" t="e">
        <f t="shared" ref="BG8:BG31" si="18">AT8*J8</f>
        <v>#VALUE!</v>
      </c>
      <c r="BH8" s="343" t="e">
        <f t="shared" ref="BH8:BH31" si="19">BB8*J8</f>
        <v>#VALUE!</v>
      </c>
      <c r="BI8" s="16" t="e">
        <f t="shared" ref="BI8:BI31" si="20">BG8+BH8</f>
        <v>#VALUE!</v>
      </c>
      <c r="BJ8" s="343" t="e">
        <f t="shared" ref="BJ8:BJ31" si="21">AS8+IF(AY8&gt;0,AY8,0)</f>
        <v>#VALUE!</v>
      </c>
      <c r="BK8" s="343" t="e">
        <f t="shared" ref="BK8:BK31" si="22">BD8+IF(BE8&gt;0,BE8,0)</f>
        <v>#VALUE!</v>
      </c>
      <c r="BL8" s="63">
        <f t="shared" ref="BL8:BL31" si="23">IF(Y8="FAIL",0,VLOOKUP(H8,T1T2_ReferenceTable,6,FALSE)*BJ8)</f>
        <v>0</v>
      </c>
      <c r="BM8" s="526">
        <f t="shared" ref="BM8:BM31" si="24">IF(Y8="PASS",BL8*J8,0)</f>
        <v>0</v>
      </c>
      <c r="BN8" s="10">
        <v>2</v>
      </c>
      <c r="BO8" s="561" t="str">
        <f t="shared" ref="BO8:BO31" si="25">H8</f>
        <v xml:space="preserve">  </v>
      </c>
      <c r="BP8" s="62" t="str">
        <f t="shared" ref="BP8:BP31" si="26">IF(AND(Y8="PASS",AND(RIGHT(C8,18)&lt;&gt;"Climate Heat Pumps",LEFT(C8,4)&lt;&gt;"Cold")),IF(LEFT(H8,4)="Room","Tier 0","Tier 1"),"")</f>
        <v/>
      </c>
      <c r="BQ8" s="89" t="str">
        <f t="shared" ref="BQ8:BQ31" si="27">BO8&amp;" "&amp;BP8</f>
        <v xml:space="preserve">   </v>
      </c>
      <c r="BR8" s="89" t="str">
        <f>IF(Y8="FAIL","",INDEX(References!$AH$4:$AH$90,MATCH(Calculations!BQ8,References!$AG$4:$AG$90,0)))</f>
        <v/>
      </c>
      <c r="BS8" s="88" t="e">
        <f>BD8*References!$B$21+IF(BE8&lt;0,0,BE8*References!$B$25)</f>
        <v>#VALUE!</v>
      </c>
      <c r="BT8" s="768" t="e">
        <f>IF(BE8&gt;0,0,BE8*References!$B$25)+AU8*INDEX(References!$F$136:$F$142,MATCH(AI8,References!$D$136:$D$142,0))</f>
        <v>#VALUE!</v>
      </c>
      <c r="BU8" s="88">
        <f>IF(BR8="",0,ROUND(INDEX(References!$E$118:$E$132,MATCH('HVAC Worksheet'!B18,References!$D$118:$D$132,0))*AQ8*J8,References!$B$40))</f>
        <v>0</v>
      </c>
    </row>
    <row r="9" spans="2:73" x14ac:dyDescent="0.3">
      <c r="B9" s="11">
        <v>3</v>
      </c>
      <c r="C9" s="15" t="str">
        <f>IF('HVAC Worksheet'!B19="","",'HVAC Worksheet'!B19)</f>
        <v/>
      </c>
      <c r="D9" s="13" t="str">
        <f>IF('HVAC Worksheet'!C19="","",'HVAC Worksheet'!C19)</f>
        <v/>
      </c>
      <c r="E9" s="13" t="str">
        <f>IF('HVAC Worksheet'!E19="","",'HVAC Worksheet'!E19)</f>
        <v/>
      </c>
      <c r="F9" s="13" t="str">
        <f>IF('HVAC Worksheet'!T19="","",'HVAC Worksheet'!T19)</f>
        <v/>
      </c>
      <c r="G9" s="590" t="str">
        <f>IF('HVAC Worksheet'!V19="","",'HVAC Worksheet'!V19)</f>
        <v/>
      </c>
      <c r="H9" s="511" t="str">
        <f t="shared" si="0"/>
        <v xml:space="preserve">  </v>
      </c>
      <c r="I9" s="15" t="str">
        <f>IF('HVAC Worksheet'!H19="","",'HVAC Worksheet'!H19)</f>
        <v/>
      </c>
      <c r="J9" s="14" t="str">
        <f>IF('HVAC Worksheet'!I19="","",'HVAC Worksheet'!I19)</f>
        <v/>
      </c>
      <c r="K9" s="15" t="str">
        <f>IF(LEFT('HVAC Worksheet'!B19,4)="Room",Calculations!L9,IF('HVAC Worksheet'!J19="","",'HVAC Worksheet'!J19))</f>
        <v/>
      </c>
      <c r="L9" s="13" t="str">
        <f>IF('HVAC Worksheet'!K19="","",'HVAC Worksheet'!K19)</f>
        <v/>
      </c>
      <c r="M9" s="13" t="str">
        <f>IF($H9="  ","",IF('HVAC Worksheet'!L19="",0,'HVAC Worksheet'!L19))</f>
        <v/>
      </c>
      <c r="N9" s="13" t="str">
        <f>IF($H9="  ","",IF('HVAC Worksheet'!M19="",0,'HVAC Worksheet'!M19))</f>
        <v/>
      </c>
      <c r="O9" s="15" t="str">
        <f>IF(H9="  ","",INDEX(HVAC_T1T2ReferenceTable,MATCH(H9,References!$AY$4:$AY$44,0),2))</f>
        <v/>
      </c>
      <c r="P9" s="13" t="str">
        <f t="shared" si="1"/>
        <v/>
      </c>
      <c r="Q9" s="13" t="str">
        <f t="shared" si="2"/>
        <v/>
      </c>
      <c r="R9" s="13" t="str">
        <f t="shared" si="3"/>
        <v/>
      </c>
      <c r="S9" s="13" t="str">
        <f>IF(LEFT(H9,4)="Room",References!$AU$4,"")</f>
        <v/>
      </c>
      <c r="T9" s="15" t="str">
        <f t="shared" si="4"/>
        <v/>
      </c>
      <c r="U9" s="13" t="str">
        <f t="shared" si="5"/>
        <v/>
      </c>
      <c r="V9" s="13" t="str">
        <f t="shared" si="6"/>
        <v/>
      </c>
      <c r="W9" s="13" t="str">
        <f t="shared" si="7"/>
        <v/>
      </c>
      <c r="X9" s="13" t="str">
        <f>IF(AND(N9="",R9&lt;&gt;0),"",IF(LEFT(H9,4)&lt;&gt;"Room","PASS",IF(LEFT(F9,4)&lt;&gt;"Room","FAIL",IF('HVAC Worksheet'!Y19&lt;=S9,"PASS","FAIL"))))</f>
        <v/>
      </c>
      <c r="Y9" s="511" t="str">
        <f t="shared" si="10"/>
        <v>FAIL</v>
      </c>
      <c r="Z9" s="15" t="str">
        <f t="shared" si="8"/>
        <v>Select …</v>
      </c>
      <c r="AA9" s="530" t="e">
        <f>IF(OR(Z9="",Z9="… please select …"),0,INDEX(References!$H$22:$H$43,MATCH(Z9,References!$G$22:$G$43,0)))</f>
        <v>#N/A</v>
      </c>
      <c r="AB9" s="61" t="e">
        <f>IF(OR(Z9="",Z9="… please select …"),0,INDEX(References!$I$22:$I$43,MATCH(Z9,References!$G$22:$G$43,0)))</f>
        <v>#N/A</v>
      </c>
      <c r="AF9" s="10">
        <v>3</v>
      </c>
      <c r="AG9" s="21" t="str">
        <f t="shared" si="9"/>
        <v xml:space="preserve">   </v>
      </c>
      <c r="AH9" s="21" t="str">
        <f>IF(OR('HVAC Worksheet'!$T19="",'HVAC Worksheet'!T19="None"),IF($H9="  ","","Baseline "&amp;INDEX(References!$W$4:$W$44,MATCH($H9,References!$T$4:$T$44,0))),"Existing "&amp;'HVAC Worksheet'!$T19)</f>
        <v/>
      </c>
      <c r="AI9" s="89" t="str">
        <f>IF(OR('HVAC Worksheet'!U19="",'HVAC Worksheet'!U19="None"),IF(I9="","","Baseline "&amp;INDEX(References!$X$4:$X$44,MATCH($H9,References!$T$4:$T$44,0))),"Existing "&amp;'HVAC Worksheet'!U19)</f>
        <v/>
      </c>
      <c r="AJ9" s="342" t="str">
        <f>_xlfn.IFNA(IF(OR('HVAC Worksheet'!X19=0,'HVAC Worksheet'!X19=""),IF(OR(LEFT(H9,3)="pac",LEFT(H9,4)="Room"),0,INDEX(References!$BL$5:$BL$44,MATCH(H9,References!$AY$5:$AY$44,0))),'HVAC Worksheet'!X19),"")</f>
        <v/>
      </c>
      <c r="AK9" s="343" t="str">
        <f>IF(H9="  ","",IF('HVAC Worksheet'!Y19="",IF(LEFT(H9,3)="Pac",(INDEX(References!$BM$4:$BM$44,MATCH(H9,References!$AY$4:$AY$44,0)))-(0.3*I9*12000/1000),INDEX(References!$BM$4:$BM$44,MATCH(H9,References!$AY$4:$AY$44,0))),'HVAC Worksheet'!Y19))</f>
        <v/>
      </c>
      <c r="AL9" s="765" t="str">
        <f>IF(H9="  ","",IF(OR($AI9="Existing Gas",$AI9="Existing Oil",$AI9="Existing Propane",$AI9="Baseline New Construction"),0,IF(AND('HVAC Worksheet'!AA19=0,'HVAC Worksheet'!Z19=0),IF(LEFT(H9,3)="pac",0,INDEX(References!$BN$4:$BN$44,MATCH(H9,References!$AY$4:$AY$44,0))),IF(AND('HVAC Worksheet'!AA19&gt;0,'HVAC Worksheet'!Z19=0),'HVAC Worksheet'!AA19*References!$B$49,'HVAC Worksheet'!Z19))))</f>
        <v/>
      </c>
      <c r="AM9" s="765" t="str">
        <f>IF($H9="  ","",IF(OR($AI9="Existing Gas",$AI9="Existing Oil",$AI9="Existing Propane",$AI9="Baseline New Construction"),0,IF(OR('HVAC Worksheet'!AA19="",'HVAC Worksheet'!AA19=0),IF(LEFT(H9,3)="Pac",(INDEX(References!$BN$4:$BN$44,MATCH(H9,References!$AY$4:$AY$44,0)))-INDEX(References!$BO$4:$BO$44,MATCH(H9,References!$AY$4:$AY$44,0))*I9*12000/1000,INDEX(References!$BO$4:$BO$44,MATCH(H9,References!$AY$4:$AY$44,0))),'HVAC Worksheet'!AA19)))</f>
        <v/>
      </c>
      <c r="AN9" s="781" t="str">
        <f>IF($H9="  ","",IF(OR($AI9="Existing Gas",$AI9="Existing Oil",$AI9="Existing Propane",$AI9="Baseline New Construction"),IF(OR('HVAC Worksheet'!AB19="",'HVAC Worksheet'!AB19=0),INDEX(References!$E$136:$E$140,MATCH(AI9,References!$D$136:$D$140,0)),'HVAC Worksheet'!AB19),0))</f>
        <v/>
      </c>
      <c r="AO9" s="766">
        <f>IF(OR(LEFT(AI9,8)="Existing",RIGHT(AI9,16)="New Construction"),References!$B$33,1)</f>
        <v>1</v>
      </c>
      <c r="AP9" s="525">
        <f>References!$B$37</f>
        <v>15</v>
      </c>
      <c r="AQ9" s="212" t="e">
        <f>IF(AND(AK9&gt;0,L9&gt;0),ROUND((I9*12)*((1/AK9)-(1/L9)),References!$B$40),0)</f>
        <v>#VALUE!</v>
      </c>
      <c r="AR9" s="308" t="e">
        <f>IF(AND(AK9&gt;0,L9&gt;0),ROUND((J9*I9*12)*((1/AK9)-(1/L9)),References!$B$40),0)</f>
        <v>#VALUE!</v>
      </c>
      <c r="AS9" s="308" t="e">
        <f>IF(AND(AJ9=0,AK9=0),0,IF(AJ9&gt;0,ROUND((I9*12)*((1/AJ9)-(1/K9))*AA9,References!$B$43),ROUND((I9*12)*((1/AK9)-(1/L9))*AA9,References!$B$43)))</f>
        <v>#VALUE!</v>
      </c>
      <c r="AT9" s="308" t="e">
        <f>AS9*References!$B$29</f>
        <v>#VALUE!</v>
      </c>
      <c r="AU9" s="308" t="e">
        <f t="shared" si="11"/>
        <v>#VALUE!</v>
      </c>
      <c r="AV9" s="212">
        <f>IF(AND(N9&gt;0,AM9&gt;0,N9&lt;&gt;""),ROUND((I9*12)*((1/(AM9))-(1/(N9))),References!$B$40),IF(AND(M9&gt;0,AL9&gt;0,M9&lt;&gt;""),ROUND((I9*12)*(1/(AL9/3.412))-(1/(M9/3.412)),References!$B$40),IF(AND(N9&gt;0,N9&lt;&gt;""),ROUND((I9*12)*-(1/(N9/3.412)),References!$B$40),IF(AND(M9&gt;0,M9&lt;&gt;""),ROUND((I9*12)*-(1/(M9/3.412)),References!$B$40),0))))</f>
        <v>0</v>
      </c>
      <c r="AW9" s="308" t="e">
        <f t="shared" si="12"/>
        <v>#VALUE!</v>
      </c>
      <c r="AX9" s="308" t="e">
        <f>ROUND(AU9*AN9*AP9,References!$B$43)</f>
        <v>#VALUE!</v>
      </c>
      <c r="AY9" s="308" t="e">
        <f>IF(AND(AL9&gt;0,M9&gt;0),ROUND((I9*12)*((1/AL9)-(1/M9))*AB9*AO9,References!$B$43),IF(AND(AM9&gt;0,N9&gt;0),ROUND((I9*12)*((1/AM9)-(1/N9))*AB9*AO9/3.413,References!$B$43),0))</f>
        <v>#VALUE!</v>
      </c>
      <c r="AZ9" s="767">
        <f>IF(AND(OR($AI9="Existing Gas",$AI9="Existing Oil",$AI9="Existing Propane",$AI9="Baseline New Construction"),RIGHT(C9,10)="Heat Pumps"),IF(AND(M9&gt;0,M9&lt;&gt;""),ROUND(((I9*12)*((1/M9))*AB9*AO9)-AX9,References!$B$43),IF(AND(N9&gt;0,N9&lt;&gt;""),ROUND(((I9*12)*((1/N9))*AB9*AO9/3.412)-AX9,References!$B$43),0)),0)</f>
        <v>0</v>
      </c>
      <c r="BA9" s="308" t="e">
        <f>(AY9*References!$B$29)-(AZ9*References!$B$29)</f>
        <v>#VALUE!</v>
      </c>
      <c r="BB9" s="308" t="e">
        <f t="shared" si="13"/>
        <v>#VALUE!</v>
      </c>
      <c r="BC9" s="308" t="e">
        <f t="shared" si="14"/>
        <v>#VALUE!</v>
      </c>
      <c r="BD9" s="343" t="e">
        <f t="shared" si="15"/>
        <v>#VALUE!</v>
      </c>
      <c r="BE9" s="343" t="e">
        <f t="shared" si="16"/>
        <v>#VALUE!</v>
      </c>
      <c r="BF9" s="343" t="e">
        <f t="shared" si="17"/>
        <v>#VALUE!</v>
      </c>
      <c r="BG9" s="343" t="e">
        <f t="shared" si="18"/>
        <v>#VALUE!</v>
      </c>
      <c r="BH9" s="343" t="e">
        <f t="shared" si="19"/>
        <v>#VALUE!</v>
      </c>
      <c r="BI9" s="16" t="e">
        <f t="shared" si="20"/>
        <v>#VALUE!</v>
      </c>
      <c r="BJ9" s="343" t="e">
        <f t="shared" si="21"/>
        <v>#VALUE!</v>
      </c>
      <c r="BK9" s="343" t="e">
        <f t="shared" si="22"/>
        <v>#VALUE!</v>
      </c>
      <c r="BL9" s="63">
        <f t="shared" si="23"/>
        <v>0</v>
      </c>
      <c r="BM9" s="526">
        <f t="shared" si="24"/>
        <v>0</v>
      </c>
      <c r="BN9" s="10">
        <v>3</v>
      </c>
      <c r="BO9" s="561" t="str">
        <f t="shared" si="25"/>
        <v xml:space="preserve">  </v>
      </c>
      <c r="BP9" s="62" t="str">
        <f t="shared" si="26"/>
        <v/>
      </c>
      <c r="BQ9" s="89" t="str">
        <f t="shared" si="27"/>
        <v xml:space="preserve">   </v>
      </c>
      <c r="BR9" s="89" t="str">
        <f>IF(Y9="FAIL","",INDEX(References!$AH$4:$AH$90,MATCH(Calculations!BQ9,References!$AG$4:$AG$90,0)))</f>
        <v/>
      </c>
      <c r="BS9" s="88" t="e">
        <f>BD9*References!$B$21+IF(BE9&lt;0,0,BE9*References!$B$25)</f>
        <v>#VALUE!</v>
      </c>
      <c r="BT9" s="768" t="e">
        <f>IF(BE9&gt;0,0,BE9*References!$B$25)+AU9*INDEX(References!$F$136:$F$142,MATCH(AI9,References!$D$136:$D$142,0))</f>
        <v>#VALUE!</v>
      </c>
      <c r="BU9" s="88">
        <f>IF(BR9="",0,ROUND(INDEX(References!$E$118:$E$132,MATCH('HVAC Worksheet'!B19,References!$D$118:$D$132,0))*AQ9*J9,References!$B$40))</f>
        <v>0</v>
      </c>
    </row>
    <row r="10" spans="2:73" x14ac:dyDescent="0.3">
      <c r="B10" s="11">
        <v>4</v>
      </c>
      <c r="C10" s="15" t="str">
        <f>IF('HVAC Worksheet'!B20="","",'HVAC Worksheet'!B20)</f>
        <v/>
      </c>
      <c r="D10" s="13" t="str">
        <f>IF('HVAC Worksheet'!C20="","",'HVAC Worksheet'!C20)</f>
        <v/>
      </c>
      <c r="E10" s="13" t="str">
        <f>IF('HVAC Worksheet'!E20="","",'HVAC Worksheet'!E20)</f>
        <v/>
      </c>
      <c r="F10" s="13" t="str">
        <f>IF('HVAC Worksheet'!T20="","",'HVAC Worksheet'!T20)</f>
        <v/>
      </c>
      <c r="G10" s="590" t="str">
        <f>IF('HVAC Worksheet'!V20="","",'HVAC Worksheet'!V20)</f>
        <v/>
      </c>
      <c r="H10" s="511" t="str">
        <f t="shared" si="0"/>
        <v xml:space="preserve">  </v>
      </c>
      <c r="I10" s="15" t="str">
        <f>IF('HVAC Worksheet'!H20="","",'HVAC Worksheet'!H20)</f>
        <v/>
      </c>
      <c r="J10" s="14" t="str">
        <f>IF('HVAC Worksheet'!I20="","",'HVAC Worksheet'!I20)</f>
        <v/>
      </c>
      <c r="K10" s="15" t="str">
        <f>IF(LEFT('HVAC Worksheet'!B20,4)="Room",Calculations!L10,IF('HVAC Worksheet'!J20="","",'HVAC Worksheet'!J20))</f>
        <v/>
      </c>
      <c r="L10" s="13" t="str">
        <f>IF('HVAC Worksheet'!K20="","",'HVAC Worksheet'!K20)</f>
        <v/>
      </c>
      <c r="M10" s="13" t="str">
        <f>IF($H10="  ","",IF('HVAC Worksheet'!L20="",0,'HVAC Worksheet'!L20))</f>
        <v/>
      </c>
      <c r="N10" s="13" t="str">
        <f>IF($H10="  ","",IF('HVAC Worksheet'!M20="",0,'HVAC Worksheet'!M20))</f>
        <v/>
      </c>
      <c r="O10" s="15" t="str">
        <f>IF(H10="  ","",INDEX(HVAC_T1T2ReferenceTable,MATCH(H10,References!$AY$4:$AY$44,0),2))</f>
        <v/>
      </c>
      <c r="P10" s="13" t="str">
        <f t="shared" si="1"/>
        <v/>
      </c>
      <c r="Q10" s="13" t="str">
        <f t="shared" si="2"/>
        <v/>
      </c>
      <c r="R10" s="13" t="str">
        <f t="shared" si="3"/>
        <v/>
      </c>
      <c r="S10" s="13" t="str">
        <f>IF(LEFT(H10,4)="Room",References!$AU$4,"")</f>
        <v/>
      </c>
      <c r="T10" s="15" t="str">
        <f t="shared" si="4"/>
        <v/>
      </c>
      <c r="U10" s="13" t="str">
        <f t="shared" si="5"/>
        <v/>
      </c>
      <c r="V10" s="13" t="str">
        <f t="shared" si="6"/>
        <v/>
      </c>
      <c r="W10" s="13" t="str">
        <f t="shared" si="7"/>
        <v/>
      </c>
      <c r="X10" s="13" t="str">
        <f>IF(AND(N10="",R10&lt;&gt;0),"",IF(LEFT(H10,4)&lt;&gt;"Room","PASS",IF(LEFT(F10,4)&lt;&gt;"Room","FAIL",IF('HVAC Worksheet'!Y20&lt;=S10,"PASS","FAIL"))))</f>
        <v/>
      </c>
      <c r="Y10" s="511" t="str">
        <f t="shared" si="10"/>
        <v>FAIL</v>
      </c>
      <c r="Z10" s="15" t="str">
        <f t="shared" si="8"/>
        <v>Select …</v>
      </c>
      <c r="AA10" s="530" t="e">
        <f>IF(OR(Z10="",Z10="… please select …"),0,INDEX(References!$H$22:$H$43,MATCH(Z10,References!$G$22:$G$43,0)))</f>
        <v>#N/A</v>
      </c>
      <c r="AB10" s="61" t="e">
        <f>IF(OR(Z10="",Z10="… please select …"),0,INDEX(References!$I$22:$I$43,MATCH(Z10,References!$G$22:$G$43,0)))</f>
        <v>#N/A</v>
      </c>
      <c r="AF10" s="10">
        <v>4</v>
      </c>
      <c r="AG10" s="21" t="str">
        <f t="shared" si="9"/>
        <v xml:space="preserve">   </v>
      </c>
      <c r="AH10" s="21" t="str">
        <f>IF(OR('HVAC Worksheet'!$T20="",'HVAC Worksheet'!T20="None"),IF($H10="  ","","Baseline "&amp;INDEX(References!$W$4:$W$44,MATCH($H10,References!$T$4:$T$44,0))),"Existing "&amp;'HVAC Worksheet'!$T20)</f>
        <v/>
      </c>
      <c r="AI10" s="89" t="str">
        <f>IF(OR('HVAC Worksheet'!U20="",'HVAC Worksheet'!U20="None"),IF(I10="","","Baseline "&amp;INDEX(References!$X$4:$X$44,MATCH($H10,References!$T$4:$T$44,0))),"Existing "&amp;'HVAC Worksheet'!U20)</f>
        <v/>
      </c>
      <c r="AJ10" s="342" t="str">
        <f>_xlfn.IFNA(IF(OR('HVAC Worksheet'!X20=0,'HVAC Worksheet'!X20=""),IF(OR(LEFT(H10,3)="pac",LEFT(H10,4)="Room"),0,INDEX(References!$BL$5:$BL$44,MATCH(H10,References!$AY$5:$AY$44,0))),'HVAC Worksheet'!X20),"")</f>
        <v/>
      </c>
      <c r="AK10" s="343" t="str">
        <f>IF(H10="  ","",IF('HVAC Worksheet'!Y20="",IF(LEFT(H10,3)="Pac",(INDEX(References!$BM$4:$BM$44,MATCH(H10,References!$AY$4:$AY$44,0)))-(0.3*I10*12000/1000),INDEX(References!$BM$4:$BM$44,MATCH(H10,References!$AY$4:$AY$44,0))),'HVAC Worksheet'!Y20))</f>
        <v/>
      </c>
      <c r="AL10" s="765" t="str">
        <f>IF(H10="  ","",IF(OR($AI10="Existing Gas",$AI10="Existing Oil",$AI10="Existing Propane",$AI10="Baseline New Construction"),0,IF(AND('HVAC Worksheet'!AA20=0,'HVAC Worksheet'!Z20=0),IF(LEFT(H10,3)="pac",0,INDEX(References!$BN$4:$BN$44,MATCH(H10,References!$AY$4:$AY$44,0))),IF(AND('HVAC Worksheet'!AA20&gt;0,'HVAC Worksheet'!Z20=0),'HVAC Worksheet'!AA20*References!$B$49,'HVAC Worksheet'!Z20))))</f>
        <v/>
      </c>
      <c r="AM10" s="765" t="str">
        <f>IF($H10="  ","",IF(OR($AI10="Existing Gas",$AI10="Existing Oil",$AI10="Existing Propane",$AI10="Baseline New Construction"),0,IF(OR('HVAC Worksheet'!AA20="",'HVAC Worksheet'!AA20=0),IF(LEFT(H10,3)="Pac",(INDEX(References!$BN$4:$BN$44,MATCH(H10,References!$AY$4:$AY$44,0)))-INDEX(References!$BO$4:$BO$44,MATCH(H10,References!$AY$4:$AY$44,0))*I10*12000/1000,INDEX(References!$BO$4:$BO$44,MATCH(H10,References!$AY$4:$AY$44,0))),'HVAC Worksheet'!AA20)))</f>
        <v/>
      </c>
      <c r="AN10" s="781" t="str">
        <f>IF($H10="  ","",IF(OR($AI10="Existing Gas",$AI10="Existing Oil",$AI10="Existing Propane",$AI10="Baseline New Construction"),IF(OR('HVAC Worksheet'!AB20="",'HVAC Worksheet'!AB20=0),INDEX(References!$E$136:$E$140,MATCH(AI10,References!$D$136:$D$140,0)),'HVAC Worksheet'!AB20),0))</f>
        <v/>
      </c>
      <c r="AO10" s="766">
        <f>IF(OR(LEFT(AI10,8)="Existing",RIGHT(AI10,16)="New Construction"),References!$B$33,1)</f>
        <v>1</v>
      </c>
      <c r="AP10" s="525">
        <f>References!$B$37</f>
        <v>15</v>
      </c>
      <c r="AQ10" s="212" t="e">
        <f>IF(AND(AK10&gt;0,L10&gt;0),ROUND((I10*12)*((1/AK10)-(1/L10)),References!$B$40),0)</f>
        <v>#VALUE!</v>
      </c>
      <c r="AR10" s="308" t="e">
        <f>IF(AND(AK10&gt;0,L10&gt;0),ROUND((J10*I10*12)*((1/AK10)-(1/L10)),References!$B$40),0)</f>
        <v>#VALUE!</v>
      </c>
      <c r="AS10" s="308" t="e">
        <f>IF(AND(AJ10=0,AK10=0),0,IF(AJ10&gt;0,ROUND((I10*12)*((1/AJ10)-(1/K10))*AA10,References!$B$43),ROUND((I10*12)*((1/AK10)-(1/L10))*AA10,References!$B$43)))</f>
        <v>#VALUE!</v>
      </c>
      <c r="AT10" s="308" t="e">
        <f>AS10*References!$B$29</f>
        <v>#VALUE!</v>
      </c>
      <c r="AU10" s="308" t="e">
        <f t="shared" si="11"/>
        <v>#VALUE!</v>
      </c>
      <c r="AV10" s="212">
        <f>IF(AND(N10&gt;0,AM10&gt;0,N10&lt;&gt;""),ROUND((I10*12)*((1/(AM10))-(1/(N10))),References!$B$40),IF(AND(M10&gt;0,AL10&gt;0,M10&lt;&gt;""),ROUND((I10*12)*(1/(AL10/3.412))-(1/(M10/3.412)),References!$B$40),IF(AND(N10&gt;0,N10&lt;&gt;""),ROUND((I10*12)*-(1/(N10/3.412)),References!$B$40),IF(AND(M10&gt;0,M10&lt;&gt;""),ROUND((I10*12)*-(1/(M10/3.412)),References!$B$40),0))))</f>
        <v>0</v>
      </c>
      <c r="AW10" s="308" t="e">
        <f t="shared" si="12"/>
        <v>#VALUE!</v>
      </c>
      <c r="AX10" s="308" t="e">
        <f>ROUND(AU10*AN10*AP10,References!$B$43)</f>
        <v>#VALUE!</v>
      </c>
      <c r="AY10" s="308" t="e">
        <f>IF(AND(AL10&gt;0,M10&gt;0),ROUND((I10*12)*((1/AL10)-(1/M10))*AB10*AO10,References!$B$43),IF(AND(AM10&gt;0,N10&gt;0),ROUND((I10*12)*((1/AM10)-(1/N10))*AB10*AO10/3.413,References!$B$43),0))</f>
        <v>#VALUE!</v>
      </c>
      <c r="AZ10" s="767">
        <f>IF(AND(OR($AI10="Existing Gas",$AI10="Existing Oil",$AI10="Existing Propane",$AI10="Baseline New Construction"),RIGHT(C10,10)="Heat Pumps"),IF(AND(M10&gt;0,M10&lt;&gt;""),ROUND(((I10*12)*((1/M10))*AB10*AO10)-AX10,References!$B$43),IF(AND(N10&gt;0,N10&lt;&gt;""),ROUND(((I10*12)*((1/N10))*AB10*AO10/3.412)-AX10,References!$B$43),0)),0)</f>
        <v>0</v>
      </c>
      <c r="BA10" s="308" t="e">
        <f>(AY10*References!$B$29)-(AZ10*References!$B$29)</f>
        <v>#VALUE!</v>
      </c>
      <c r="BB10" s="308" t="e">
        <f t="shared" si="13"/>
        <v>#VALUE!</v>
      </c>
      <c r="BC10" s="308" t="e">
        <f t="shared" si="14"/>
        <v>#VALUE!</v>
      </c>
      <c r="BD10" s="343" t="e">
        <f t="shared" si="15"/>
        <v>#VALUE!</v>
      </c>
      <c r="BE10" s="343" t="e">
        <f t="shared" si="16"/>
        <v>#VALUE!</v>
      </c>
      <c r="BF10" s="343" t="e">
        <f t="shared" si="17"/>
        <v>#VALUE!</v>
      </c>
      <c r="BG10" s="343" t="e">
        <f t="shared" si="18"/>
        <v>#VALUE!</v>
      </c>
      <c r="BH10" s="343" t="e">
        <f t="shared" si="19"/>
        <v>#VALUE!</v>
      </c>
      <c r="BI10" s="16" t="e">
        <f t="shared" si="20"/>
        <v>#VALUE!</v>
      </c>
      <c r="BJ10" s="343" t="e">
        <f t="shared" si="21"/>
        <v>#VALUE!</v>
      </c>
      <c r="BK10" s="343" t="e">
        <f t="shared" si="22"/>
        <v>#VALUE!</v>
      </c>
      <c r="BL10" s="63">
        <f t="shared" si="23"/>
        <v>0</v>
      </c>
      <c r="BM10" s="526">
        <f t="shared" si="24"/>
        <v>0</v>
      </c>
      <c r="BN10" s="10">
        <v>4</v>
      </c>
      <c r="BO10" s="561" t="str">
        <f t="shared" si="25"/>
        <v xml:space="preserve">  </v>
      </c>
      <c r="BP10" s="62" t="str">
        <f t="shared" si="26"/>
        <v/>
      </c>
      <c r="BQ10" s="89" t="str">
        <f t="shared" si="27"/>
        <v xml:space="preserve">   </v>
      </c>
      <c r="BR10" s="89" t="str">
        <f>IF(Y10="FAIL","",INDEX(References!$AH$4:$AH$90,MATCH(Calculations!BQ10,References!$AG$4:$AG$90,0)))</f>
        <v/>
      </c>
      <c r="BS10" s="88" t="e">
        <f>BD10*References!$B$21+IF(BE10&lt;0,0,BE10*References!$B$25)</f>
        <v>#VALUE!</v>
      </c>
      <c r="BT10" s="768" t="e">
        <f>IF(BE10&gt;0,0,BE10*References!$B$25)+AU10*INDEX(References!$F$136:$F$142,MATCH(AI10,References!$D$136:$D$142,0))</f>
        <v>#VALUE!</v>
      </c>
      <c r="BU10" s="88">
        <f>IF(BR10="",0,ROUND(INDEX(References!$E$118:$E$132,MATCH('HVAC Worksheet'!B20,References!$D$118:$D$132,0))*AQ10*J10,References!$B$40))</f>
        <v>0</v>
      </c>
    </row>
    <row r="11" spans="2:73" x14ac:dyDescent="0.3">
      <c r="B11" s="11">
        <v>5</v>
      </c>
      <c r="C11" s="15" t="str">
        <f>IF('HVAC Worksheet'!B21="","",'HVAC Worksheet'!B21)</f>
        <v/>
      </c>
      <c r="D11" s="13" t="str">
        <f>IF('HVAC Worksheet'!C21="","",'HVAC Worksheet'!C21)</f>
        <v/>
      </c>
      <c r="E11" s="13" t="str">
        <f>IF('HVAC Worksheet'!E21="","",'HVAC Worksheet'!E21)</f>
        <v/>
      </c>
      <c r="F11" s="13" t="str">
        <f>IF('HVAC Worksheet'!T21="","",'HVAC Worksheet'!T21)</f>
        <v/>
      </c>
      <c r="G11" s="590" t="str">
        <f>IF('HVAC Worksheet'!V21="","",'HVAC Worksheet'!V21)</f>
        <v/>
      </c>
      <c r="H11" s="511" t="str">
        <f t="shared" si="0"/>
        <v xml:space="preserve">  </v>
      </c>
      <c r="I11" s="15" t="str">
        <f>IF('HVAC Worksheet'!H21="","",'HVAC Worksheet'!H21)</f>
        <v/>
      </c>
      <c r="J11" s="14" t="str">
        <f>IF('HVAC Worksheet'!I21="","",'HVAC Worksheet'!I21)</f>
        <v/>
      </c>
      <c r="K11" s="15" t="str">
        <f>IF(LEFT('HVAC Worksheet'!B21,4)="Room",Calculations!L11,IF('HVAC Worksheet'!J21="","",'HVAC Worksheet'!J21))</f>
        <v/>
      </c>
      <c r="L11" s="13" t="str">
        <f>IF('HVAC Worksheet'!K21="","",'HVAC Worksheet'!K21)</f>
        <v/>
      </c>
      <c r="M11" s="13" t="str">
        <f>IF($H11="  ","",IF('HVAC Worksheet'!L21="",0,'HVAC Worksheet'!L21))</f>
        <v/>
      </c>
      <c r="N11" s="13" t="str">
        <f>IF($H11="  ","",IF('HVAC Worksheet'!M21="",0,'HVAC Worksheet'!M21))</f>
        <v/>
      </c>
      <c r="O11" s="15" t="str">
        <f>IF(H11="  ","",INDEX(HVAC_T1T2ReferenceTable,MATCH(H11,References!$AY$4:$AY$44,0),2))</f>
        <v/>
      </c>
      <c r="P11" s="13" t="str">
        <f t="shared" si="1"/>
        <v/>
      </c>
      <c r="Q11" s="13" t="str">
        <f t="shared" si="2"/>
        <v/>
      </c>
      <c r="R11" s="13" t="str">
        <f t="shared" si="3"/>
        <v/>
      </c>
      <c r="S11" s="13" t="str">
        <f>IF(LEFT(H11,4)="Room",References!$AU$4,"")</f>
        <v/>
      </c>
      <c r="T11" s="15" t="str">
        <f t="shared" si="4"/>
        <v/>
      </c>
      <c r="U11" s="13" t="str">
        <f t="shared" si="5"/>
        <v/>
      </c>
      <c r="V11" s="13" t="str">
        <f t="shared" si="6"/>
        <v/>
      </c>
      <c r="W11" s="13" t="str">
        <f t="shared" si="7"/>
        <v/>
      </c>
      <c r="X11" s="13" t="str">
        <f>IF(AND(N11="",R11&lt;&gt;0),"",IF(LEFT(H11,4)&lt;&gt;"Room","PASS",IF(LEFT(F11,4)&lt;&gt;"Room","FAIL",IF('HVAC Worksheet'!Y21&lt;=S11,"PASS","FAIL"))))</f>
        <v/>
      </c>
      <c r="Y11" s="511" t="str">
        <f t="shared" si="10"/>
        <v>FAIL</v>
      </c>
      <c r="Z11" s="15" t="str">
        <f t="shared" si="8"/>
        <v>Select …</v>
      </c>
      <c r="AA11" s="530" t="e">
        <f>IF(OR(Z11="",Z11="… please select …"),0,INDEX(References!$H$22:$H$43,MATCH(Z11,References!$G$22:$G$43,0)))</f>
        <v>#N/A</v>
      </c>
      <c r="AB11" s="61" t="e">
        <f>IF(OR(Z11="",Z11="… please select …"),0,INDEX(References!$I$22:$I$43,MATCH(Z11,References!$G$22:$G$43,0)))</f>
        <v>#N/A</v>
      </c>
      <c r="AF11" s="10">
        <v>5</v>
      </c>
      <c r="AG11" s="21" t="str">
        <f t="shared" si="9"/>
        <v xml:space="preserve">   </v>
      </c>
      <c r="AH11" s="21" t="str">
        <f>IF(OR('HVAC Worksheet'!$T21="",'HVAC Worksheet'!T21="None"),IF($H11="  ","","Baseline "&amp;INDEX(References!$W$4:$W$44,MATCH($H11,References!$T$4:$T$44,0))),"Existing "&amp;'HVAC Worksheet'!$T21)</f>
        <v/>
      </c>
      <c r="AI11" s="89" t="str">
        <f>IF(OR('HVAC Worksheet'!U21="",'HVAC Worksheet'!U21="None"),IF(I11="","","Baseline "&amp;INDEX(References!$X$4:$X$44,MATCH($H11,References!$T$4:$T$44,0))),"Existing "&amp;'HVAC Worksheet'!U21)</f>
        <v/>
      </c>
      <c r="AJ11" s="342" t="str">
        <f>_xlfn.IFNA(IF(OR('HVAC Worksheet'!X21=0,'HVAC Worksheet'!X21=""),IF(OR(LEFT(H11,3)="pac",LEFT(H11,4)="Room"),0,INDEX(References!$BL$5:$BL$44,MATCH(H11,References!$AY$5:$AY$44,0))),'HVAC Worksheet'!X21),"")</f>
        <v/>
      </c>
      <c r="AK11" s="343" t="str">
        <f>IF(H11="  ","",IF('HVAC Worksheet'!Y21="",IF(LEFT(H11,3)="Pac",(INDEX(References!$BM$4:$BM$44,MATCH(H11,References!$AY$4:$AY$44,0)))-(0.3*I11*12000/1000),INDEX(References!$BM$4:$BM$44,MATCH(H11,References!$AY$4:$AY$44,0))),'HVAC Worksheet'!Y21))</f>
        <v/>
      </c>
      <c r="AL11" s="765" t="str">
        <f>IF(H11="  ","",IF(OR($AI11="Existing Gas",$AI11="Existing Oil",$AI11="Existing Propane",$AI11="Baseline New Construction"),0,IF(AND('HVAC Worksheet'!AA21=0,'HVAC Worksheet'!Z21=0),IF(LEFT(H11,3)="pac",0,INDEX(References!$BN$4:$BN$44,MATCH(H11,References!$AY$4:$AY$44,0))),IF(AND('HVAC Worksheet'!AA21&gt;0,'HVAC Worksheet'!Z21=0),'HVAC Worksheet'!AA21*References!$B$49,'HVAC Worksheet'!Z21))))</f>
        <v/>
      </c>
      <c r="AM11" s="765" t="str">
        <f>IF($H11="  ","",IF(OR($AI11="Existing Gas",$AI11="Existing Oil",$AI11="Existing Propane",$AI11="Baseline New Construction"),0,IF(OR('HVAC Worksheet'!AA21="",'HVAC Worksheet'!AA21=0),IF(LEFT(H11,3)="Pac",(INDEX(References!$BN$4:$BN$44,MATCH(H11,References!$AY$4:$AY$44,0)))-INDEX(References!$BO$4:$BO$44,MATCH(H11,References!$AY$4:$AY$44,0))*I11*12000/1000,INDEX(References!$BO$4:$BO$44,MATCH(H11,References!$AY$4:$AY$44,0))),'HVAC Worksheet'!AA21)))</f>
        <v/>
      </c>
      <c r="AN11" s="781" t="str">
        <f>IF($H11="  ","",IF(OR($AI11="Existing Gas",$AI11="Existing Oil",$AI11="Existing Propane",$AI11="Baseline New Construction"),IF(OR('HVAC Worksheet'!AB21="",'HVAC Worksheet'!AB21=0),INDEX(References!$E$136:$E$140,MATCH(AI11,References!$D$136:$D$140,0)),'HVAC Worksheet'!AB21),0))</f>
        <v/>
      </c>
      <c r="AO11" s="766">
        <f>IF(OR(LEFT(AI11,8)="Existing",RIGHT(AI11,16)="New Construction"),References!$B$33,1)</f>
        <v>1</v>
      </c>
      <c r="AP11" s="525">
        <f>References!$B$37</f>
        <v>15</v>
      </c>
      <c r="AQ11" s="212" t="e">
        <f>IF(AND(AK11&gt;0,L11&gt;0),ROUND((I11*12)*((1/AK11)-(1/L11)),References!$B$40),0)</f>
        <v>#VALUE!</v>
      </c>
      <c r="AR11" s="308" t="e">
        <f>IF(AND(AK11&gt;0,L11&gt;0),ROUND((J11*I11*12)*((1/AK11)-(1/L11)),References!$B$40),0)</f>
        <v>#VALUE!</v>
      </c>
      <c r="AS11" s="308" t="e">
        <f>IF(AND(AJ11=0,AK11=0),0,IF(AJ11&gt;0,ROUND((I11*12)*((1/AJ11)-(1/K11))*AA11,References!$B$43),ROUND((I11*12)*((1/AK11)-(1/L11))*AA11,References!$B$43)))</f>
        <v>#VALUE!</v>
      </c>
      <c r="AT11" s="308" t="e">
        <f>AS11*References!$B$29</f>
        <v>#VALUE!</v>
      </c>
      <c r="AU11" s="308" t="e">
        <f t="shared" si="11"/>
        <v>#VALUE!</v>
      </c>
      <c r="AV11" s="212">
        <f>IF(AND(N11&gt;0,AM11&gt;0,N11&lt;&gt;""),ROUND((I11*12)*((1/(AM11))-(1/(N11))),References!$B$40),IF(AND(M11&gt;0,AL11&gt;0,M11&lt;&gt;""),ROUND((I11*12)*(1/(AL11/3.412))-(1/(M11/3.412)),References!$B$40),IF(AND(N11&gt;0,N11&lt;&gt;""),ROUND((I11*12)*-(1/(N11/3.412)),References!$B$40),IF(AND(M11&gt;0,M11&lt;&gt;""),ROUND((I11*12)*-(1/(M11/3.412)),References!$B$40),0))))</f>
        <v>0</v>
      </c>
      <c r="AW11" s="308" t="e">
        <f t="shared" si="12"/>
        <v>#VALUE!</v>
      </c>
      <c r="AX11" s="308" t="e">
        <f>ROUND(AU11*AN11*AP11,References!$B$43)</f>
        <v>#VALUE!</v>
      </c>
      <c r="AY11" s="308" t="e">
        <f>IF(AND(AL11&gt;0,M11&gt;0),ROUND((I11*12)*((1/AL11)-(1/M11))*AB11*AO11,References!$B$43),IF(AND(AM11&gt;0,N11&gt;0),ROUND((I11*12)*((1/AM11)-(1/N11))*AB11*AO11/3.413,References!$B$43),0))</f>
        <v>#VALUE!</v>
      </c>
      <c r="AZ11" s="767">
        <f>IF(AND(OR($AI11="Existing Gas",$AI11="Existing Oil",$AI11="Existing Propane",$AI11="Baseline New Construction"),RIGHT(C11,10)="Heat Pumps"),IF(AND(M11&gt;0,M11&lt;&gt;""),ROUND(((I11*12)*((1/M11))*AB11*AO11)-AX11,References!$B$43),IF(AND(N11&gt;0,N11&lt;&gt;""),ROUND(((I11*12)*((1/N11))*AB11*AO11/3.412)-AX11,References!$B$43),0)),0)</f>
        <v>0</v>
      </c>
      <c r="BA11" s="308" t="e">
        <f>(AY11*References!$B$29)-(AZ11*References!$B$29)</f>
        <v>#VALUE!</v>
      </c>
      <c r="BB11" s="308" t="e">
        <f t="shared" si="13"/>
        <v>#VALUE!</v>
      </c>
      <c r="BC11" s="308" t="e">
        <f t="shared" si="14"/>
        <v>#VALUE!</v>
      </c>
      <c r="BD11" s="343" t="e">
        <f t="shared" si="15"/>
        <v>#VALUE!</v>
      </c>
      <c r="BE11" s="343" t="e">
        <f t="shared" si="16"/>
        <v>#VALUE!</v>
      </c>
      <c r="BF11" s="343" t="e">
        <f t="shared" si="17"/>
        <v>#VALUE!</v>
      </c>
      <c r="BG11" s="343" t="e">
        <f t="shared" si="18"/>
        <v>#VALUE!</v>
      </c>
      <c r="BH11" s="343" t="e">
        <f t="shared" si="19"/>
        <v>#VALUE!</v>
      </c>
      <c r="BI11" s="16" t="e">
        <f t="shared" si="20"/>
        <v>#VALUE!</v>
      </c>
      <c r="BJ11" s="343" t="e">
        <f t="shared" si="21"/>
        <v>#VALUE!</v>
      </c>
      <c r="BK11" s="343" t="e">
        <f t="shared" si="22"/>
        <v>#VALUE!</v>
      </c>
      <c r="BL11" s="63">
        <f t="shared" si="23"/>
        <v>0</v>
      </c>
      <c r="BM11" s="526">
        <f t="shared" si="24"/>
        <v>0</v>
      </c>
      <c r="BN11" s="10">
        <v>5</v>
      </c>
      <c r="BO11" s="561" t="str">
        <f t="shared" si="25"/>
        <v xml:space="preserve">  </v>
      </c>
      <c r="BP11" s="62" t="str">
        <f t="shared" si="26"/>
        <v/>
      </c>
      <c r="BQ11" s="89" t="str">
        <f t="shared" si="27"/>
        <v xml:space="preserve">   </v>
      </c>
      <c r="BR11" s="89" t="str">
        <f>IF(Y11="FAIL","",INDEX(References!$AH$4:$AH$90,MATCH(Calculations!BQ11,References!$AG$4:$AG$90,0)))</f>
        <v/>
      </c>
      <c r="BS11" s="88" t="e">
        <f>BD11*References!$B$21+IF(BE11&lt;0,0,BE11*References!$B$25)</f>
        <v>#VALUE!</v>
      </c>
      <c r="BT11" s="768" t="e">
        <f>IF(BE11&gt;0,0,BE11*References!$B$25)+AU11*INDEX(References!$F$136:$F$142,MATCH(AI11,References!$D$136:$D$142,0))</f>
        <v>#VALUE!</v>
      </c>
      <c r="BU11" s="88">
        <f>IF(BR11="",0,ROUND(INDEX(References!$E$118:$E$132,MATCH('HVAC Worksheet'!B21,References!$D$118:$D$132,0))*AQ11*J11,References!$B$40))</f>
        <v>0</v>
      </c>
    </row>
    <row r="12" spans="2:73" x14ac:dyDescent="0.3">
      <c r="B12" s="11">
        <v>6</v>
      </c>
      <c r="C12" s="15" t="str">
        <f>IF('HVAC Worksheet'!B22="","",'HVAC Worksheet'!B22)</f>
        <v/>
      </c>
      <c r="D12" s="13" t="str">
        <f>IF('HVAC Worksheet'!C22="","",'HVAC Worksheet'!C22)</f>
        <v/>
      </c>
      <c r="E12" s="13" t="str">
        <f>IF('HVAC Worksheet'!E22="","",'HVAC Worksheet'!E22)</f>
        <v/>
      </c>
      <c r="F12" s="13" t="str">
        <f>IF('HVAC Worksheet'!T22="","",'HVAC Worksheet'!T22)</f>
        <v/>
      </c>
      <c r="G12" s="590" t="str">
        <f>IF('HVAC Worksheet'!V22="","",'HVAC Worksheet'!V22)</f>
        <v/>
      </c>
      <c r="H12" s="511" t="str">
        <f t="shared" si="0"/>
        <v xml:space="preserve">  </v>
      </c>
      <c r="I12" s="15" t="str">
        <f>IF('HVAC Worksheet'!H22="","",'HVAC Worksheet'!H22)</f>
        <v/>
      </c>
      <c r="J12" s="14" t="str">
        <f>IF('HVAC Worksheet'!I22="","",'HVAC Worksheet'!I22)</f>
        <v/>
      </c>
      <c r="K12" s="15" t="str">
        <f>IF(LEFT('HVAC Worksheet'!B22,4)="Room",Calculations!L12,IF('HVAC Worksheet'!J22="","",'HVAC Worksheet'!J22))</f>
        <v/>
      </c>
      <c r="L12" s="13" t="str">
        <f>IF('HVAC Worksheet'!K22="","",'HVAC Worksheet'!K22)</f>
        <v/>
      </c>
      <c r="M12" s="13" t="str">
        <f>IF($H12="  ","",IF('HVAC Worksheet'!L22="",0,'HVAC Worksheet'!L22))</f>
        <v/>
      </c>
      <c r="N12" s="13" t="str">
        <f>IF($H12="  ","",IF('HVAC Worksheet'!M22="",0,'HVAC Worksheet'!M22))</f>
        <v/>
      </c>
      <c r="O12" s="15" t="str">
        <f>IF(H12="  ","",INDEX(HVAC_T1T2ReferenceTable,MATCH(H12,References!$AY$4:$AY$44,0),2))</f>
        <v/>
      </c>
      <c r="P12" s="13" t="str">
        <f t="shared" si="1"/>
        <v/>
      </c>
      <c r="Q12" s="13" t="str">
        <f t="shared" si="2"/>
        <v/>
      </c>
      <c r="R12" s="13" t="str">
        <f t="shared" si="3"/>
        <v/>
      </c>
      <c r="S12" s="13" t="str">
        <f>IF(LEFT(H12,4)="Room",References!$AU$4,"")</f>
        <v/>
      </c>
      <c r="T12" s="15" t="str">
        <f t="shared" si="4"/>
        <v/>
      </c>
      <c r="U12" s="13" t="str">
        <f t="shared" si="5"/>
        <v/>
      </c>
      <c r="V12" s="13" t="str">
        <f t="shared" si="6"/>
        <v/>
      </c>
      <c r="W12" s="13" t="str">
        <f t="shared" si="7"/>
        <v/>
      </c>
      <c r="X12" s="13" t="str">
        <f>IF(AND(N12="",R12&lt;&gt;0),"",IF(LEFT(H12,4)&lt;&gt;"Room","PASS",IF(LEFT(F12,4)&lt;&gt;"Room","FAIL",IF('HVAC Worksheet'!Y22&lt;=S12,"PASS","FAIL"))))</f>
        <v/>
      </c>
      <c r="Y12" s="511" t="str">
        <f t="shared" si="10"/>
        <v>FAIL</v>
      </c>
      <c r="Z12" s="15" t="str">
        <f t="shared" si="8"/>
        <v>Select …</v>
      </c>
      <c r="AA12" s="530" t="e">
        <f>IF(OR(Z12="",Z12="… please select …"),0,INDEX(References!$H$22:$H$43,MATCH(Z12,References!$G$22:$G$43,0)))</f>
        <v>#N/A</v>
      </c>
      <c r="AB12" s="61" t="e">
        <f>IF(OR(Z12="",Z12="… please select …"),0,INDEX(References!$I$22:$I$43,MATCH(Z12,References!$G$22:$G$43,0)))</f>
        <v>#N/A</v>
      </c>
      <c r="AF12" s="10">
        <v>6</v>
      </c>
      <c r="AG12" s="21" t="str">
        <f t="shared" si="9"/>
        <v xml:space="preserve">   </v>
      </c>
      <c r="AH12" s="21" t="str">
        <f>IF(OR('HVAC Worksheet'!$T22="",'HVAC Worksheet'!T22="None"),IF($H12="  ","","Baseline "&amp;INDEX(References!$W$4:$W$44,MATCH($H12,References!$T$4:$T$44,0))),"Existing "&amp;'HVAC Worksheet'!$T22)</f>
        <v/>
      </c>
      <c r="AI12" s="89" t="str">
        <f>IF(OR('HVAC Worksheet'!U22="",'HVAC Worksheet'!U22="None"),IF(I12="","","Baseline "&amp;INDEX(References!$X$4:$X$44,MATCH($H12,References!$T$4:$T$44,0))),"Existing "&amp;'HVAC Worksheet'!U22)</f>
        <v/>
      </c>
      <c r="AJ12" s="342" t="str">
        <f>_xlfn.IFNA(IF(OR('HVAC Worksheet'!X22=0,'HVAC Worksheet'!X22=""),IF(OR(LEFT(H12,3)="pac",LEFT(H12,4)="Room"),0,INDEX(References!$BL$5:$BL$44,MATCH(H12,References!$AY$5:$AY$44,0))),'HVAC Worksheet'!X22),"")</f>
        <v/>
      </c>
      <c r="AK12" s="343" t="str">
        <f>IF(H12="  ","",IF('HVAC Worksheet'!Y22="",IF(LEFT(H12,3)="Pac",(INDEX(References!$BM$4:$BM$44,MATCH(H12,References!$AY$4:$AY$44,0)))-(0.3*I12*12000/1000),INDEX(References!$BM$4:$BM$44,MATCH(H12,References!$AY$4:$AY$44,0))),'HVAC Worksheet'!Y22))</f>
        <v/>
      </c>
      <c r="AL12" s="765" t="str">
        <f>IF(H12="  ","",IF(OR($AI12="Existing Gas",$AI12="Existing Oil",$AI12="Existing Propane",$AI12="Baseline New Construction"),0,IF(AND('HVAC Worksheet'!AA22=0,'HVAC Worksheet'!Z22=0),IF(LEFT(H12,3)="pac",0,INDEX(References!$BN$4:$BN$44,MATCH(H12,References!$AY$4:$AY$44,0))),IF(AND('HVAC Worksheet'!AA22&gt;0,'HVAC Worksheet'!Z22=0),'HVAC Worksheet'!AA22*References!$B$49,'HVAC Worksheet'!Z22))))</f>
        <v/>
      </c>
      <c r="AM12" s="765" t="str">
        <f>IF($H12="  ","",IF(OR($AI12="Existing Gas",$AI12="Existing Oil",$AI12="Existing Propane",$AI12="Baseline New Construction"),0,IF(OR('HVAC Worksheet'!AA22="",'HVAC Worksheet'!AA22=0),IF(LEFT(H12,3)="Pac",(INDEX(References!$BN$4:$BN$44,MATCH(H12,References!$AY$4:$AY$44,0)))-INDEX(References!$BO$4:$BO$44,MATCH(H12,References!$AY$4:$AY$44,0))*I12*12000/1000,INDEX(References!$BO$4:$BO$44,MATCH(H12,References!$AY$4:$AY$44,0))),'HVAC Worksheet'!AA22)))</f>
        <v/>
      </c>
      <c r="AN12" s="781" t="str">
        <f>IF($H12="  ","",IF(OR($AI12="Existing Gas",$AI12="Existing Oil",$AI12="Existing Propane",$AI12="Baseline New Construction"),IF(OR('HVAC Worksheet'!AB22="",'HVAC Worksheet'!AB22=0),INDEX(References!$E$136:$E$140,MATCH(AI12,References!$D$136:$D$140,0)),'HVAC Worksheet'!AB22),0))</f>
        <v/>
      </c>
      <c r="AO12" s="766">
        <f>IF(OR(LEFT(AI12,8)="Existing",RIGHT(AI12,16)="New Construction"),References!$B$33,1)</f>
        <v>1</v>
      </c>
      <c r="AP12" s="525">
        <f>References!$B$37</f>
        <v>15</v>
      </c>
      <c r="AQ12" s="212" t="e">
        <f>IF(AND(AK12&gt;0,L12&gt;0),ROUND((I12*12)*((1/AK12)-(1/L12)),References!$B$40),0)</f>
        <v>#VALUE!</v>
      </c>
      <c r="AR12" s="308" t="e">
        <f>IF(AND(AK12&gt;0,L12&gt;0),ROUND((J12*I12*12)*((1/AK12)-(1/L12)),References!$B$40),0)</f>
        <v>#VALUE!</v>
      </c>
      <c r="AS12" s="308" t="e">
        <f>IF(AND(AJ12=0,AK12=0),0,IF(AJ12&gt;0,ROUND((I12*12)*((1/AJ12)-(1/K12))*AA12,References!$B$43),ROUND((I12*12)*((1/AK12)-(1/L12))*AA12,References!$B$43)))</f>
        <v>#VALUE!</v>
      </c>
      <c r="AT12" s="308" t="e">
        <f>AS12*References!$B$29</f>
        <v>#VALUE!</v>
      </c>
      <c r="AU12" s="308" t="e">
        <f t="shared" si="11"/>
        <v>#VALUE!</v>
      </c>
      <c r="AV12" s="212">
        <f>IF(AND(N12&gt;0,AM12&gt;0,N12&lt;&gt;""),ROUND((I12*12)*((1/(AM12))-(1/(N12))),References!$B$40),IF(AND(M12&gt;0,AL12&gt;0,M12&lt;&gt;""),ROUND((I12*12)*(1/(AL12/3.412))-(1/(M12/3.412)),References!$B$40),IF(AND(N12&gt;0,N12&lt;&gt;""),ROUND((I12*12)*-(1/(N12/3.412)),References!$B$40),IF(AND(M12&gt;0,M12&lt;&gt;""),ROUND((I12*12)*-(1/(M12/3.412)),References!$B$40),0))))</f>
        <v>0</v>
      </c>
      <c r="AW12" s="308" t="e">
        <f t="shared" si="12"/>
        <v>#VALUE!</v>
      </c>
      <c r="AX12" s="308" t="e">
        <f>ROUND(AU12*AN12*AP12,References!$B$43)</f>
        <v>#VALUE!</v>
      </c>
      <c r="AY12" s="308" t="e">
        <f>IF(AND(AL12&gt;0,M12&gt;0),ROUND((I12*12)*((1/AL12)-(1/M12))*AB12*AO12,References!$B$43),IF(AND(AM12&gt;0,N12&gt;0),ROUND((I12*12)*((1/AM12)-(1/N12))*AB12*AO12/3.413,References!$B$43),0))</f>
        <v>#VALUE!</v>
      </c>
      <c r="AZ12" s="767">
        <f>IF(AND(OR($AI12="Existing Gas",$AI12="Existing Oil",$AI12="Existing Propane",$AI12="Baseline New Construction"),RIGHT(C12,10)="Heat Pumps"),IF(AND(M12&gt;0,M12&lt;&gt;""),ROUND(((I12*12)*((1/M12))*AB12*AO12)-AX12,References!$B$43),IF(AND(N12&gt;0,N12&lt;&gt;""),ROUND(((I12*12)*((1/N12))*AB12*AO12/3.412)-AX12,References!$B$43),0)),0)</f>
        <v>0</v>
      </c>
      <c r="BA12" s="308" t="e">
        <f>(AY12*References!$B$29)-(AZ12*References!$B$29)</f>
        <v>#VALUE!</v>
      </c>
      <c r="BB12" s="308" t="e">
        <f t="shared" si="13"/>
        <v>#VALUE!</v>
      </c>
      <c r="BC12" s="308" t="e">
        <f t="shared" si="14"/>
        <v>#VALUE!</v>
      </c>
      <c r="BD12" s="343" t="e">
        <f t="shared" si="15"/>
        <v>#VALUE!</v>
      </c>
      <c r="BE12" s="343" t="e">
        <f t="shared" si="16"/>
        <v>#VALUE!</v>
      </c>
      <c r="BF12" s="343" t="e">
        <f t="shared" si="17"/>
        <v>#VALUE!</v>
      </c>
      <c r="BG12" s="343" t="e">
        <f t="shared" si="18"/>
        <v>#VALUE!</v>
      </c>
      <c r="BH12" s="343" t="e">
        <f t="shared" si="19"/>
        <v>#VALUE!</v>
      </c>
      <c r="BI12" s="16" t="e">
        <f t="shared" si="20"/>
        <v>#VALUE!</v>
      </c>
      <c r="BJ12" s="343" t="e">
        <f t="shared" si="21"/>
        <v>#VALUE!</v>
      </c>
      <c r="BK12" s="343" t="e">
        <f t="shared" si="22"/>
        <v>#VALUE!</v>
      </c>
      <c r="BL12" s="63">
        <f t="shared" si="23"/>
        <v>0</v>
      </c>
      <c r="BM12" s="526">
        <f t="shared" si="24"/>
        <v>0</v>
      </c>
      <c r="BN12" s="10">
        <v>6</v>
      </c>
      <c r="BO12" s="561" t="str">
        <f t="shared" si="25"/>
        <v xml:space="preserve">  </v>
      </c>
      <c r="BP12" s="62" t="str">
        <f t="shared" si="26"/>
        <v/>
      </c>
      <c r="BQ12" s="89" t="str">
        <f t="shared" si="27"/>
        <v xml:space="preserve">   </v>
      </c>
      <c r="BR12" s="89" t="str">
        <f>IF(Y12="FAIL","",INDEX(References!$AH$4:$AH$90,MATCH(Calculations!BQ12,References!$AG$4:$AG$90,0)))</f>
        <v/>
      </c>
      <c r="BS12" s="88" t="e">
        <f>BD12*References!$B$21+IF(BE12&lt;0,0,BE12*References!$B$25)</f>
        <v>#VALUE!</v>
      </c>
      <c r="BT12" s="768" t="e">
        <f>IF(BE12&gt;0,0,BE12*References!$B$25)+AU12*INDEX(References!$F$136:$F$142,MATCH(AI12,References!$D$136:$D$142,0))</f>
        <v>#VALUE!</v>
      </c>
      <c r="BU12" s="88">
        <f>IF(BR12="",0,ROUND(INDEX(References!$E$118:$E$132,MATCH('HVAC Worksheet'!B22,References!$D$118:$D$132,0))*AQ12*J12,References!$B$40))</f>
        <v>0</v>
      </c>
    </row>
    <row r="13" spans="2:73" x14ac:dyDescent="0.3">
      <c r="B13" s="11">
        <v>7</v>
      </c>
      <c r="C13" s="15" t="str">
        <f>IF('HVAC Worksheet'!B23="","",'HVAC Worksheet'!B23)</f>
        <v/>
      </c>
      <c r="D13" s="13" t="str">
        <f>IF('HVAC Worksheet'!C23="","",'HVAC Worksheet'!C23)</f>
        <v/>
      </c>
      <c r="E13" s="13" t="str">
        <f>IF('HVAC Worksheet'!E23="","",'HVAC Worksheet'!E23)</f>
        <v/>
      </c>
      <c r="F13" s="13" t="str">
        <f>IF('HVAC Worksheet'!T23="","",'HVAC Worksheet'!T23)</f>
        <v/>
      </c>
      <c r="G13" s="590" t="str">
        <f>IF('HVAC Worksheet'!V23="","",'HVAC Worksheet'!V23)</f>
        <v/>
      </c>
      <c r="H13" s="511" t="str">
        <f t="shared" si="0"/>
        <v xml:space="preserve">  </v>
      </c>
      <c r="I13" s="15" t="str">
        <f>IF('HVAC Worksheet'!H23="","",'HVAC Worksheet'!H23)</f>
        <v/>
      </c>
      <c r="J13" s="14" t="str">
        <f>IF('HVAC Worksheet'!I23="","",'HVAC Worksheet'!I23)</f>
        <v/>
      </c>
      <c r="K13" s="15" t="str">
        <f>IF(LEFT('HVAC Worksheet'!B23,4)="Room",Calculations!L13,IF('HVAC Worksheet'!J23="","",'HVAC Worksheet'!J23))</f>
        <v/>
      </c>
      <c r="L13" s="13" t="str">
        <f>IF('HVAC Worksheet'!K23="","",'HVAC Worksheet'!K23)</f>
        <v/>
      </c>
      <c r="M13" s="13" t="str">
        <f>IF($H13="  ","",IF('HVAC Worksheet'!L23="",0,'HVAC Worksheet'!L23))</f>
        <v/>
      </c>
      <c r="N13" s="13" t="str">
        <f>IF($H13="  ","",IF('HVAC Worksheet'!M23="",0,'HVAC Worksheet'!M23))</f>
        <v/>
      </c>
      <c r="O13" s="15" t="str">
        <f>IF(H13="  ","",INDEX(HVAC_T1T2ReferenceTable,MATCH(H13,References!$AY$4:$AY$44,0),2))</f>
        <v/>
      </c>
      <c r="P13" s="13" t="str">
        <f t="shared" si="1"/>
        <v/>
      </c>
      <c r="Q13" s="13" t="str">
        <f t="shared" si="2"/>
        <v/>
      </c>
      <c r="R13" s="13" t="str">
        <f t="shared" si="3"/>
        <v/>
      </c>
      <c r="S13" s="13" t="str">
        <f>IF(LEFT(H13,4)="Room",References!$AU$4,"")</f>
        <v/>
      </c>
      <c r="T13" s="15" t="str">
        <f t="shared" si="4"/>
        <v/>
      </c>
      <c r="U13" s="13" t="str">
        <f t="shared" si="5"/>
        <v/>
      </c>
      <c r="V13" s="13" t="str">
        <f t="shared" si="6"/>
        <v/>
      </c>
      <c r="W13" s="13" t="str">
        <f t="shared" si="7"/>
        <v/>
      </c>
      <c r="X13" s="13" t="str">
        <f>IF(AND(N13="",R13&lt;&gt;0),"",IF(LEFT(H13,4)&lt;&gt;"Room","PASS",IF(LEFT(F13,4)&lt;&gt;"Room","FAIL",IF('HVAC Worksheet'!Y23&lt;=S13,"PASS","FAIL"))))</f>
        <v/>
      </c>
      <c r="Y13" s="511" t="str">
        <f t="shared" si="10"/>
        <v>FAIL</v>
      </c>
      <c r="Z13" s="15" t="str">
        <f t="shared" si="8"/>
        <v>Select …</v>
      </c>
      <c r="AA13" s="530" t="e">
        <f>IF(OR(Z13="",Z13="… please select …"),0,INDEX(References!$H$22:$H$43,MATCH(Z13,References!$G$22:$G$43,0)))</f>
        <v>#N/A</v>
      </c>
      <c r="AB13" s="61" t="e">
        <f>IF(OR(Z13="",Z13="… please select …"),0,INDEX(References!$I$22:$I$43,MATCH(Z13,References!$G$22:$G$43,0)))</f>
        <v>#N/A</v>
      </c>
      <c r="AF13" s="10">
        <v>7</v>
      </c>
      <c r="AG13" s="21" t="str">
        <f t="shared" si="9"/>
        <v xml:space="preserve">   </v>
      </c>
      <c r="AH13" s="21" t="str">
        <f>IF(OR('HVAC Worksheet'!$T23="",'HVAC Worksheet'!T23="None"),IF($H13="  ","","Baseline "&amp;INDEX(References!$W$4:$W$44,MATCH($H13,References!$T$4:$T$44,0))),"Existing "&amp;'HVAC Worksheet'!$T23)</f>
        <v/>
      </c>
      <c r="AI13" s="89" t="str">
        <f>IF(OR('HVAC Worksheet'!U23="",'HVAC Worksheet'!U23="None"),IF(I13="","","Baseline "&amp;INDEX(References!$X$4:$X$44,MATCH($H13,References!$T$4:$T$44,0))),"Existing "&amp;'HVAC Worksheet'!U23)</f>
        <v/>
      </c>
      <c r="AJ13" s="342" t="str">
        <f>_xlfn.IFNA(IF(OR('HVAC Worksheet'!X23=0,'HVAC Worksheet'!X23=""),IF(OR(LEFT(H13,3)="pac",LEFT(H13,4)="Room"),0,INDEX(References!$BL$5:$BL$44,MATCH(H13,References!$AY$5:$AY$44,0))),'HVAC Worksheet'!X23),"")</f>
        <v/>
      </c>
      <c r="AK13" s="343" t="str">
        <f>IF(H13="  ","",IF('HVAC Worksheet'!Y23="",IF(LEFT(H13,3)="Pac",(INDEX(References!$BM$4:$BM$44,MATCH(H13,References!$AY$4:$AY$44,0)))-(0.3*I13*12000/1000),INDEX(References!$BM$4:$BM$44,MATCH(H13,References!$AY$4:$AY$44,0))),'HVAC Worksheet'!Y23))</f>
        <v/>
      </c>
      <c r="AL13" s="765" t="str">
        <f>IF(H13="  ","",IF(OR($AI13="Existing Gas",$AI13="Existing Oil",$AI13="Existing Propane",$AI13="Baseline New Construction"),0,IF(AND('HVAC Worksheet'!AA23=0,'HVAC Worksheet'!Z23=0),IF(LEFT(H13,3)="pac",0,INDEX(References!$BN$4:$BN$44,MATCH(H13,References!$AY$4:$AY$44,0))),IF(AND('HVAC Worksheet'!AA23&gt;0,'HVAC Worksheet'!Z23=0),'HVAC Worksheet'!AA23*References!$B$49,'HVAC Worksheet'!Z23))))</f>
        <v/>
      </c>
      <c r="AM13" s="765" t="str">
        <f>IF($H13="  ","",IF(OR($AI13="Existing Gas",$AI13="Existing Oil",$AI13="Existing Propane",$AI13="Baseline New Construction"),0,IF(OR('HVAC Worksheet'!AA23="",'HVAC Worksheet'!AA23=0),IF(LEFT(H13,3)="Pac",(INDEX(References!$BN$4:$BN$44,MATCH(H13,References!$AY$4:$AY$44,0)))-INDEX(References!$BO$4:$BO$44,MATCH(H13,References!$AY$4:$AY$44,0))*I13*12000/1000,INDEX(References!$BO$4:$BO$44,MATCH(H13,References!$AY$4:$AY$44,0))),'HVAC Worksheet'!AA23)))</f>
        <v/>
      </c>
      <c r="AN13" s="781" t="str">
        <f>IF($H13="  ","",IF(OR($AI13="Existing Gas",$AI13="Existing Oil",$AI13="Existing Propane",$AI13="Baseline New Construction"),IF(OR('HVAC Worksheet'!AB23="",'HVAC Worksheet'!AB23=0),INDEX(References!$E$136:$E$140,MATCH(AI13,References!$D$136:$D$140,0)),'HVAC Worksheet'!AB23),0))</f>
        <v/>
      </c>
      <c r="AO13" s="766">
        <f>IF(OR(LEFT(AI13,8)="Existing",RIGHT(AI13,16)="New Construction"),References!$B$33,1)</f>
        <v>1</v>
      </c>
      <c r="AP13" s="525">
        <f>References!$B$37</f>
        <v>15</v>
      </c>
      <c r="AQ13" s="212" t="e">
        <f>IF(AND(AK13&gt;0,L13&gt;0),ROUND((I13*12)*((1/AK13)-(1/L13)),References!$B$40),0)</f>
        <v>#VALUE!</v>
      </c>
      <c r="AR13" s="308" t="e">
        <f>IF(AND(AK13&gt;0,L13&gt;0),ROUND((J13*I13*12)*((1/AK13)-(1/L13)),References!$B$40),0)</f>
        <v>#VALUE!</v>
      </c>
      <c r="AS13" s="308" t="e">
        <f>IF(AND(AJ13=0,AK13=0),0,IF(AJ13&gt;0,ROUND((I13*12)*((1/AJ13)-(1/K13))*AA13,References!$B$43),ROUND((I13*12)*((1/AK13)-(1/L13))*AA13,References!$B$43)))</f>
        <v>#VALUE!</v>
      </c>
      <c r="AT13" s="308" t="e">
        <f>AS13*References!$B$29</f>
        <v>#VALUE!</v>
      </c>
      <c r="AU13" s="308" t="e">
        <f t="shared" si="11"/>
        <v>#VALUE!</v>
      </c>
      <c r="AV13" s="212">
        <f>IF(AND(N13&gt;0,AM13&gt;0,N13&lt;&gt;""),ROUND((I13*12)*((1/(AM13))-(1/(N13))),References!$B$40),IF(AND(M13&gt;0,AL13&gt;0,M13&lt;&gt;""),ROUND((I13*12)*(1/(AL13/3.412))-(1/(M13/3.412)),References!$B$40),IF(AND(N13&gt;0,N13&lt;&gt;""),ROUND((I13*12)*-(1/(N13/3.412)),References!$B$40),IF(AND(M13&gt;0,M13&lt;&gt;""),ROUND((I13*12)*-(1/(M13/3.412)),References!$B$40),0))))</f>
        <v>0</v>
      </c>
      <c r="AW13" s="308" t="e">
        <f t="shared" si="12"/>
        <v>#VALUE!</v>
      </c>
      <c r="AX13" s="308" t="e">
        <f>ROUND(AU13*AN13*AP13,References!$B$43)</f>
        <v>#VALUE!</v>
      </c>
      <c r="AY13" s="308" t="e">
        <f>IF(AND(AL13&gt;0,M13&gt;0),ROUND((I13*12)*((1/AL13)-(1/M13))*AB13*AO13,References!$B$43),IF(AND(AM13&gt;0,N13&gt;0),ROUND((I13*12)*((1/AM13)-(1/N13))*AB13*AO13/3.413,References!$B$43),0))</f>
        <v>#VALUE!</v>
      </c>
      <c r="AZ13" s="767">
        <f>IF(AND(OR($AI13="Existing Gas",$AI13="Existing Oil",$AI13="Existing Propane",$AI13="Baseline New Construction"),RIGHT(C13,10)="Heat Pumps"),IF(AND(M13&gt;0,M13&lt;&gt;""),ROUND(((I13*12)*((1/M13))*AB13*AO13)-AX13,References!$B$43),IF(AND(N13&gt;0,N13&lt;&gt;""),ROUND(((I13*12)*((1/N13))*AB13*AO13/3.412)-AX13,References!$B$43),0)),0)</f>
        <v>0</v>
      </c>
      <c r="BA13" s="308" t="e">
        <f>(AY13*References!$B$29)-(AZ13*References!$B$29)</f>
        <v>#VALUE!</v>
      </c>
      <c r="BB13" s="308" t="e">
        <f t="shared" si="13"/>
        <v>#VALUE!</v>
      </c>
      <c r="BC13" s="308" t="e">
        <f t="shared" si="14"/>
        <v>#VALUE!</v>
      </c>
      <c r="BD13" s="343" t="e">
        <f t="shared" si="15"/>
        <v>#VALUE!</v>
      </c>
      <c r="BE13" s="343" t="e">
        <f t="shared" si="16"/>
        <v>#VALUE!</v>
      </c>
      <c r="BF13" s="343" t="e">
        <f t="shared" si="17"/>
        <v>#VALUE!</v>
      </c>
      <c r="BG13" s="343" t="e">
        <f t="shared" si="18"/>
        <v>#VALUE!</v>
      </c>
      <c r="BH13" s="343" t="e">
        <f t="shared" si="19"/>
        <v>#VALUE!</v>
      </c>
      <c r="BI13" s="16" t="e">
        <f t="shared" si="20"/>
        <v>#VALUE!</v>
      </c>
      <c r="BJ13" s="343" t="e">
        <f t="shared" si="21"/>
        <v>#VALUE!</v>
      </c>
      <c r="BK13" s="343" t="e">
        <f t="shared" si="22"/>
        <v>#VALUE!</v>
      </c>
      <c r="BL13" s="63">
        <f t="shared" si="23"/>
        <v>0</v>
      </c>
      <c r="BM13" s="526">
        <f t="shared" si="24"/>
        <v>0</v>
      </c>
      <c r="BN13" s="10">
        <v>7</v>
      </c>
      <c r="BO13" s="561" t="str">
        <f t="shared" si="25"/>
        <v xml:space="preserve">  </v>
      </c>
      <c r="BP13" s="62" t="str">
        <f t="shared" si="26"/>
        <v/>
      </c>
      <c r="BQ13" s="89" t="str">
        <f t="shared" si="27"/>
        <v xml:space="preserve">   </v>
      </c>
      <c r="BR13" s="89" t="str">
        <f>IF(Y13="FAIL","",INDEX(References!$AH$4:$AH$90,MATCH(Calculations!BQ13,References!$AG$4:$AG$90,0)))</f>
        <v/>
      </c>
      <c r="BS13" s="88" t="e">
        <f>BD13*References!$B$21+IF(BE13&lt;0,0,BE13*References!$B$25)</f>
        <v>#VALUE!</v>
      </c>
      <c r="BT13" s="768" t="e">
        <f>IF(BE13&gt;0,0,BE13*References!$B$25)+AU13*INDEX(References!$F$136:$F$142,MATCH(AI13,References!$D$136:$D$142,0))</f>
        <v>#VALUE!</v>
      </c>
      <c r="BU13" s="88">
        <f>IF(BR13="",0,ROUND(INDEX(References!$E$118:$E$132,MATCH('HVAC Worksheet'!B23,References!$D$118:$D$132,0))*AQ13*J13,References!$B$40))</f>
        <v>0</v>
      </c>
    </row>
    <row r="14" spans="2:73" x14ac:dyDescent="0.3">
      <c r="B14" s="11">
        <v>8</v>
      </c>
      <c r="C14" s="15" t="str">
        <f>IF('HVAC Worksheet'!B24="","",'HVAC Worksheet'!B24)</f>
        <v/>
      </c>
      <c r="D14" s="13" t="str">
        <f>IF('HVAC Worksheet'!C24="","",'HVAC Worksheet'!C24)</f>
        <v/>
      </c>
      <c r="E14" s="13" t="str">
        <f>IF('HVAC Worksheet'!E24="","",'HVAC Worksheet'!E24)</f>
        <v/>
      </c>
      <c r="F14" s="13" t="str">
        <f>IF('HVAC Worksheet'!T24="","",'HVAC Worksheet'!T24)</f>
        <v/>
      </c>
      <c r="G14" s="590" t="str">
        <f>IF('HVAC Worksheet'!V24="","",'HVAC Worksheet'!V24)</f>
        <v/>
      </c>
      <c r="H14" s="511" t="str">
        <f t="shared" si="0"/>
        <v xml:space="preserve">  </v>
      </c>
      <c r="I14" s="15" t="str">
        <f>IF('HVAC Worksheet'!H24="","",'HVAC Worksheet'!H24)</f>
        <v/>
      </c>
      <c r="J14" s="14" t="str">
        <f>IF('HVAC Worksheet'!I24="","",'HVAC Worksheet'!I24)</f>
        <v/>
      </c>
      <c r="K14" s="15" t="str">
        <f>IF(LEFT('HVAC Worksheet'!B24,4)="Room",Calculations!L14,IF('HVAC Worksheet'!J24="","",'HVAC Worksheet'!J24))</f>
        <v/>
      </c>
      <c r="L14" s="13" t="str">
        <f>IF('HVAC Worksheet'!K24="","",'HVAC Worksheet'!K24)</f>
        <v/>
      </c>
      <c r="M14" s="13" t="str">
        <f>IF($H14="  ","",IF('HVAC Worksheet'!L24="",0,'HVAC Worksheet'!L24))</f>
        <v/>
      </c>
      <c r="N14" s="13" t="str">
        <f>IF($H14="  ","",IF('HVAC Worksheet'!M24="",0,'HVAC Worksheet'!M24))</f>
        <v/>
      </c>
      <c r="O14" s="15" t="str">
        <f>IF(H14="  ","",INDEX(HVAC_T1T2ReferenceTable,MATCH(H14,References!$AY$4:$AY$44,0),2))</f>
        <v/>
      </c>
      <c r="P14" s="13" t="str">
        <f t="shared" si="1"/>
        <v/>
      </c>
      <c r="Q14" s="13" t="str">
        <f t="shared" si="2"/>
        <v/>
      </c>
      <c r="R14" s="13" t="str">
        <f t="shared" si="3"/>
        <v/>
      </c>
      <c r="S14" s="13" t="str">
        <f>IF(LEFT(H14,4)="Room",References!$AU$4,"")</f>
        <v/>
      </c>
      <c r="T14" s="15" t="str">
        <f t="shared" si="4"/>
        <v/>
      </c>
      <c r="U14" s="13" t="str">
        <f t="shared" si="5"/>
        <v/>
      </c>
      <c r="V14" s="13" t="str">
        <f t="shared" si="6"/>
        <v/>
      </c>
      <c r="W14" s="13" t="str">
        <f t="shared" si="7"/>
        <v/>
      </c>
      <c r="X14" s="13" t="str">
        <f>IF(AND(N14="",R14&lt;&gt;0),"",IF(LEFT(H14,4)&lt;&gt;"Room","PASS",IF(LEFT(F14,4)&lt;&gt;"Room","FAIL",IF('HVAC Worksheet'!Y24&lt;=S14,"PASS","FAIL"))))</f>
        <v/>
      </c>
      <c r="Y14" s="511" t="str">
        <f t="shared" si="10"/>
        <v>FAIL</v>
      </c>
      <c r="Z14" s="15" t="str">
        <f t="shared" si="8"/>
        <v>Select …</v>
      </c>
      <c r="AA14" s="530" t="e">
        <f>IF(OR(Z14="",Z14="… please select …"),0,INDEX(References!$H$22:$H$43,MATCH(Z14,References!$G$22:$G$43,0)))</f>
        <v>#N/A</v>
      </c>
      <c r="AB14" s="61" t="e">
        <f>IF(OR(Z14="",Z14="… please select …"),0,INDEX(References!$I$22:$I$43,MATCH(Z14,References!$G$22:$G$43,0)))</f>
        <v>#N/A</v>
      </c>
      <c r="AF14" s="10">
        <v>8</v>
      </c>
      <c r="AG14" s="21" t="str">
        <f t="shared" si="9"/>
        <v xml:space="preserve">   </v>
      </c>
      <c r="AH14" s="21" t="str">
        <f>IF(OR('HVAC Worksheet'!$T24="",'HVAC Worksheet'!T24="None"),IF($H14="  ","","Baseline "&amp;INDEX(References!$W$4:$W$44,MATCH($H14,References!$T$4:$T$44,0))),"Existing "&amp;'HVAC Worksheet'!$T24)</f>
        <v/>
      </c>
      <c r="AI14" s="89" t="str">
        <f>IF(OR('HVAC Worksheet'!U24="",'HVAC Worksheet'!U24="None"),IF(I14="","","Baseline "&amp;INDEX(References!$X$4:$X$44,MATCH($H14,References!$T$4:$T$44,0))),"Existing "&amp;'HVAC Worksheet'!U24)</f>
        <v/>
      </c>
      <c r="AJ14" s="342" t="str">
        <f>_xlfn.IFNA(IF(OR('HVAC Worksheet'!X24=0,'HVAC Worksheet'!X24=""),IF(OR(LEFT(H14,3)="pac",LEFT(H14,4)="Room"),0,INDEX(References!$BL$5:$BL$44,MATCH(H14,References!$AY$5:$AY$44,0))),'HVAC Worksheet'!X24),"")</f>
        <v/>
      </c>
      <c r="AK14" s="343" t="str">
        <f>IF(H14="  ","",IF('HVAC Worksheet'!Y24="",IF(LEFT(H14,3)="Pac",(INDEX(References!$BM$4:$BM$44,MATCH(H14,References!$AY$4:$AY$44,0)))-(0.3*I14*12000/1000),INDEX(References!$BM$4:$BM$44,MATCH(H14,References!$AY$4:$AY$44,0))),'HVAC Worksheet'!Y24))</f>
        <v/>
      </c>
      <c r="AL14" s="765" t="str">
        <f>IF(H14="  ","",IF(OR($AI14="Existing Gas",$AI14="Existing Oil",$AI14="Existing Propane",$AI14="Baseline New Construction"),0,IF(AND('HVAC Worksheet'!AA24=0,'HVAC Worksheet'!Z24=0),IF(LEFT(H14,3)="pac",0,INDEX(References!$BN$4:$BN$44,MATCH(H14,References!$AY$4:$AY$44,0))),IF(AND('HVAC Worksheet'!AA24&gt;0,'HVAC Worksheet'!Z24=0),'HVAC Worksheet'!AA24*References!$B$49,'HVAC Worksheet'!Z24))))</f>
        <v/>
      </c>
      <c r="AM14" s="765" t="str">
        <f>IF($H14="  ","",IF(OR($AI14="Existing Gas",$AI14="Existing Oil",$AI14="Existing Propane",$AI14="Baseline New Construction"),0,IF(OR('HVAC Worksheet'!AA24="",'HVAC Worksheet'!AA24=0),IF(LEFT(H14,3)="Pac",(INDEX(References!$BN$4:$BN$44,MATCH(H14,References!$AY$4:$AY$44,0)))-INDEX(References!$BO$4:$BO$44,MATCH(H14,References!$AY$4:$AY$44,0))*I14*12000/1000,INDEX(References!$BO$4:$BO$44,MATCH(H14,References!$AY$4:$AY$44,0))),'HVAC Worksheet'!AA24)))</f>
        <v/>
      </c>
      <c r="AN14" s="781" t="str">
        <f>IF($H14="  ","",IF(OR($AI14="Existing Gas",$AI14="Existing Oil",$AI14="Existing Propane",$AI14="Baseline New Construction"),IF(OR('HVAC Worksheet'!AB24="",'HVAC Worksheet'!AB24=0),INDEX(References!$E$136:$E$140,MATCH(AI14,References!$D$136:$D$140,0)),'HVAC Worksheet'!AB24),0))</f>
        <v/>
      </c>
      <c r="AO14" s="766">
        <f>IF(OR(LEFT(AI14,8)="Existing",RIGHT(AI14,16)="New Construction"),References!$B$33,1)</f>
        <v>1</v>
      </c>
      <c r="AP14" s="525">
        <f>References!$B$37</f>
        <v>15</v>
      </c>
      <c r="AQ14" s="212" t="e">
        <f>IF(AND(AK14&gt;0,L14&gt;0),ROUND((I14*12)*((1/AK14)-(1/L14)),References!$B$40),0)</f>
        <v>#VALUE!</v>
      </c>
      <c r="AR14" s="308" t="e">
        <f>IF(AND(AK14&gt;0,L14&gt;0),ROUND((J14*I14*12)*((1/AK14)-(1/L14)),References!$B$40),0)</f>
        <v>#VALUE!</v>
      </c>
      <c r="AS14" s="308" t="e">
        <f>IF(AND(AJ14=0,AK14=0),0,IF(AJ14&gt;0,ROUND((I14*12)*((1/AJ14)-(1/K14))*AA14,References!$B$43),ROUND((I14*12)*((1/AK14)-(1/L14))*AA14,References!$B$43)))</f>
        <v>#VALUE!</v>
      </c>
      <c r="AT14" s="308" t="e">
        <f>AS14*References!$B$29</f>
        <v>#VALUE!</v>
      </c>
      <c r="AU14" s="308" t="e">
        <f t="shared" si="11"/>
        <v>#VALUE!</v>
      </c>
      <c r="AV14" s="212">
        <f>IF(AND(N14&gt;0,AM14&gt;0,N14&lt;&gt;""),ROUND((I14*12)*((1/(AM14))-(1/(N14))),References!$B$40),IF(AND(M14&gt;0,AL14&gt;0,M14&lt;&gt;""),ROUND((I14*12)*(1/(AL14/3.412))-(1/(M14/3.412)),References!$B$40),IF(AND(N14&gt;0,N14&lt;&gt;""),ROUND((I14*12)*-(1/(N14/3.412)),References!$B$40),IF(AND(M14&gt;0,M14&lt;&gt;""),ROUND((I14*12)*-(1/(M14/3.412)),References!$B$40),0))))</f>
        <v>0</v>
      </c>
      <c r="AW14" s="308" t="e">
        <f t="shared" si="12"/>
        <v>#VALUE!</v>
      </c>
      <c r="AX14" s="308" t="e">
        <f>ROUND(AU14*AN14*AP14,References!$B$43)</f>
        <v>#VALUE!</v>
      </c>
      <c r="AY14" s="308" t="e">
        <f>IF(AND(AL14&gt;0,M14&gt;0),ROUND((I14*12)*((1/AL14)-(1/M14))*AB14*AO14,References!$B$43),IF(AND(AM14&gt;0,N14&gt;0),ROUND((I14*12)*((1/AM14)-(1/N14))*AB14*AO14/3.413,References!$B$43),0))</f>
        <v>#VALUE!</v>
      </c>
      <c r="AZ14" s="767">
        <f>IF(AND(OR($AI14="Existing Gas",$AI14="Existing Oil",$AI14="Existing Propane",$AI14="Baseline New Construction"),RIGHT(C14,10)="Heat Pumps"),IF(AND(M14&gt;0,M14&lt;&gt;""),ROUND(((I14*12)*((1/M14))*AB14*AO14)-AX14,References!$B$43),IF(AND(N14&gt;0,N14&lt;&gt;""),ROUND(((I14*12)*((1/N14))*AB14*AO14/3.412)-AX14,References!$B$43),0)),0)</f>
        <v>0</v>
      </c>
      <c r="BA14" s="308" t="e">
        <f>(AY14*References!$B$29)-(AZ14*References!$B$29)</f>
        <v>#VALUE!</v>
      </c>
      <c r="BB14" s="308" t="e">
        <f t="shared" si="13"/>
        <v>#VALUE!</v>
      </c>
      <c r="BC14" s="308" t="e">
        <f t="shared" si="14"/>
        <v>#VALUE!</v>
      </c>
      <c r="BD14" s="343" t="e">
        <f t="shared" si="15"/>
        <v>#VALUE!</v>
      </c>
      <c r="BE14" s="343" t="e">
        <f t="shared" si="16"/>
        <v>#VALUE!</v>
      </c>
      <c r="BF14" s="343" t="e">
        <f t="shared" si="17"/>
        <v>#VALUE!</v>
      </c>
      <c r="BG14" s="343" t="e">
        <f t="shared" si="18"/>
        <v>#VALUE!</v>
      </c>
      <c r="BH14" s="343" t="e">
        <f t="shared" si="19"/>
        <v>#VALUE!</v>
      </c>
      <c r="BI14" s="16" t="e">
        <f t="shared" si="20"/>
        <v>#VALUE!</v>
      </c>
      <c r="BJ14" s="343" t="e">
        <f t="shared" si="21"/>
        <v>#VALUE!</v>
      </c>
      <c r="BK14" s="343" t="e">
        <f t="shared" si="22"/>
        <v>#VALUE!</v>
      </c>
      <c r="BL14" s="63">
        <f t="shared" si="23"/>
        <v>0</v>
      </c>
      <c r="BM14" s="526">
        <f t="shared" si="24"/>
        <v>0</v>
      </c>
      <c r="BN14" s="10">
        <v>8</v>
      </c>
      <c r="BO14" s="561" t="str">
        <f t="shared" si="25"/>
        <v xml:space="preserve">  </v>
      </c>
      <c r="BP14" s="62" t="str">
        <f t="shared" si="26"/>
        <v/>
      </c>
      <c r="BQ14" s="89" t="str">
        <f t="shared" si="27"/>
        <v xml:space="preserve">   </v>
      </c>
      <c r="BR14" s="89" t="str">
        <f>IF(Y14="FAIL","",INDEX(References!$AH$4:$AH$90,MATCH(Calculations!BQ14,References!$AG$4:$AG$90,0)))</f>
        <v/>
      </c>
      <c r="BS14" s="88" t="e">
        <f>BD14*References!$B$21+IF(BE14&lt;0,0,BE14*References!$B$25)</f>
        <v>#VALUE!</v>
      </c>
      <c r="BT14" s="768" t="e">
        <f>IF(BE14&gt;0,0,BE14*References!$B$25)+AU14*INDEX(References!$F$136:$F$142,MATCH(AI14,References!$D$136:$D$142,0))</f>
        <v>#VALUE!</v>
      </c>
      <c r="BU14" s="88">
        <f>IF(BR14="",0,ROUND(INDEX(References!$E$118:$E$132,MATCH('HVAC Worksheet'!B24,References!$D$118:$D$132,0))*AQ14*J14,References!$B$40))</f>
        <v>0</v>
      </c>
    </row>
    <row r="15" spans="2:73" x14ac:dyDescent="0.3">
      <c r="B15" s="11">
        <v>9</v>
      </c>
      <c r="C15" s="15" t="str">
        <f>IF('HVAC Worksheet'!B25="","",'HVAC Worksheet'!B25)</f>
        <v/>
      </c>
      <c r="D15" s="13" t="str">
        <f>IF('HVAC Worksheet'!C25="","",'HVAC Worksheet'!C25)</f>
        <v/>
      </c>
      <c r="E15" s="13" t="str">
        <f>IF('HVAC Worksheet'!E25="","",'HVAC Worksheet'!E25)</f>
        <v/>
      </c>
      <c r="F15" s="13" t="str">
        <f>IF('HVAC Worksheet'!T25="","",'HVAC Worksheet'!T25)</f>
        <v/>
      </c>
      <c r="G15" s="590" t="str">
        <f>IF('HVAC Worksheet'!V25="","",'HVAC Worksheet'!V25)</f>
        <v/>
      </c>
      <c r="H15" s="511" t="str">
        <f t="shared" si="0"/>
        <v xml:space="preserve">  </v>
      </c>
      <c r="I15" s="15" t="str">
        <f>IF('HVAC Worksheet'!H25="","",'HVAC Worksheet'!H25)</f>
        <v/>
      </c>
      <c r="J15" s="14" t="str">
        <f>IF('HVAC Worksheet'!I25="","",'HVAC Worksheet'!I25)</f>
        <v/>
      </c>
      <c r="K15" s="15" t="str">
        <f>IF(LEFT('HVAC Worksheet'!B25,4)="Room",Calculations!L15,IF('HVAC Worksheet'!J25="","",'HVAC Worksheet'!J25))</f>
        <v/>
      </c>
      <c r="L15" s="13" t="str">
        <f>IF('HVAC Worksheet'!K25="","",'HVAC Worksheet'!K25)</f>
        <v/>
      </c>
      <c r="M15" s="13" t="str">
        <f>IF($H15="  ","",IF('HVAC Worksheet'!L25="",0,'HVAC Worksheet'!L25))</f>
        <v/>
      </c>
      <c r="N15" s="13" t="str">
        <f>IF($H15="  ","",IF('HVAC Worksheet'!M25="",0,'HVAC Worksheet'!M25))</f>
        <v/>
      </c>
      <c r="O15" s="15" t="str">
        <f>IF(H15="  ","",INDEX(HVAC_T1T2ReferenceTable,MATCH(H15,References!$AY$4:$AY$44,0),2))</f>
        <v/>
      </c>
      <c r="P15" s="13" t="str">
        <f t="shared" si="1"/>
        <v/>
      </c>
      <c r="Q15" s="13" t="str">
        <f t="shared" si="2"/>
        <v/>
      </c>
      <c r="R15" s="13" t="str">
        <f t="shared" si="3"/>
        <v/>
      </c>
      <c r="S15" s="13" t="str">
        <f>IF(LEFT(H15,4)="Room",References!$AU$4,"")</f>
        <v/>
      </c>
      <c r="T15" s="15" t="str">
        <f t="shared" si="4"/>
        <v/>
      </c>
      <c r="U15" s="13" t="str">
        <f t="shared" si="5"/>
        <v/>
      </c>
      <c r="V15" s="13" t="str">
        <f t="shared" si="6"/>
        <v/>
      </c>
      <c r="W15" s="13" t="str">
        <f t="shared" si="7"/>
        <v/>
      </c>
      <c r="X15" s="13" t="str">
        <f>IF(AND(N15="",R15&lt;&gt;0),"",IF(LEFT(H15,4)&lt;&gt;"Room","PASS",IF(LEFT(F15,4)&lt;&gt;"Room","FAIL",IF('HVAC Worksheet'!Y25&lt;=S15,"PASS","FAIL"))))</f>
        <v/>
      </c>
      <c r="Y15" s="511" t="str">
        <f t="shared" si="10"/>
        <v>FAIL</v>
      </c>
      <c r="Z15" s="15" t="str">
        <f t="shared" si="8"/>
        <v>Select …</v>
      </c>
      <c r="AA15" s="530" t="e">
        <f>IF(OR(Z15="",Z15="… please select …"),0,INDEX(References!$H$22:$H$43,MATCH(Z15,References!$G$22:$G$43,0)))</f>
        <v>#N/A</v>
      </c>
      <c r="AB15" s="61" t="e">
        <f>IF(OR(Z15="",Z15="… please select …"),0,INDEX(References!$I$22:$I$43,MATCH(Z15,References!$G$22:$G$43,0)))</f>
        <v>#N/A</v>
      </c>
      <c r="AF15" s="10">
        <v>9</v>
      </c>
      <c r="AG15" s="21" t="str">
        <f t="shared" si="9"/>
        <v xml:space="preserve">   </v>
      </c>
      <c r="AH15" s="21" t="str">
        <f>IF(OR('HVAC Worksheet'!$T25="",'HVAC Worksheet'!T25="None"),IF($H15="  ","","Baseline "&amp;INDEX(References!$W$4:$W$44,MATCH($H15,References!$T$4:$T$44,0))),"Existing "&amp;'HVAC Worksheet'!$T25)</f>
        <v/>
      </c>
      <c r="AI15" s="89" t="str">
        <f>IF(OR('HVAC Worksheet'!U25="",'HVAC Worksheet'!U25="None"),IF(I15="","","Baseline "&amp;INDEX(References!$X$4:$X$44,MATCH($H15,References!$T$4:$T$44,0))),"Existing "&amp;'HVAC Worksheet'!U25)</f>
        <v/>
      </c>
      <c r="AJ15" s="342" t="str">
        <f>_xlfn.IFNA(IF(OR('HVAC Worksheet'!X25=0,'HVAC Worksheet'!X25=""),IF(OR(LEFT(H15,3)="pac",LEFT(H15,4)="Room"),0,INDEX(References!$BL$5:$BL$44,MATCH(H15,References!$AY$5:$AY$44,0))),'HVAC Worksheet'!X25),"")</f>
        <v/>
      </c>
      <c r="AK15" s="343" t="str">
        <f>IF(H15="  ","",IF('HVAC Worksheet'!Y25="",IF(LEFT(H15,3)="Pac",(INDEX(References!$BM$4:$BM$44,MATCH(H15,References!$AY$4:$AY$44,0)))-(0.3*I15*12000/1000),INDEX(References!$BM$4:$BM$44,MATCH(H15,References!$AY$4:$AY$44,0))),'HVAC Worksheet'!Y25))</f>
        <v/>
      </c>
      <c r="AL15" s="765" t="str">
        <f>IF(H15="  ","",IF(OR($AI15="Existing Gas",$AI15="Existing Oil",$AI15="Existing Propane",$AI15="Baseline New Construction"),0,IF(AND('HVAC Worksheet'!AA25=0,'HVAC Worksheet'!Z25=0),IF(LEFT(H15,3)="pac",0,INDEX(References!$BN$4:$BN$44,MATCH(H15,References!$AY$4:$AY$44,0))),IF(AND('HVAC Worksheet'!AA25&gt;0,'HVAC Worksheet'!Z25=0),'HVAC Worksheet'!AA25*References!$B$49,'HVAC Worksheet'!Z25))))</f>
        <v/>
      </c>
      <c r="AM15" s="765" t="str">
        <f>IF($H15="  ","",IF(OR($AI15="Existing Gas",$AI15="Existing Oil",$AI15="Existing Propane",$AI15="Baseline New Construction"),0,IF(OR('HVAC Worksheet'!AA25="",'HVAC Worksheet'!AA25=0),IF(LEFT(H15,3)="Pac",(INDEX(References!$BN$4:$BN$44,MATCH(H15,References!$AY$4:$AY$44,0)))-INDEX(References!$BO$4:$BO$44,MATCH(H15,References!$AY$4:$AY$44,0))*I15*12000/1000,INDEX(References!$BO$4:$BO$44,MATCH(H15,References!$AY$4:$AY$44,0))),'HVAC Worksheet'!AA25)))</f>
        <v/>
      </c>
      <c r="AN15" s="781" t="str">
        <f>IF($H15="  ","",IF(OR($AI15="Existing Gas",$AI15="Existing Oil",$AI15="Existing Propane",$AI15="Baseline New Construction"),IF(OR('HVAC Worksheet'!AB25="",'HVAC Worksheet'!AB25=0),INDEX(References!$E$136:$E$140,MATCH(AI15,References!$D$136:$D$140,0)),'HVAC Worksheet'!AB25),0))</f>
        <v/>
      </c>
      <c r="AO15" s="766">
        <f>IF(OR(LEFT(AI15,8)="Existing",RIGHT(AI15,16)="New Construction"),References!$B$33,1)</f>
        <v>1</v>
      </c>
      <c r="AP15" s="525">
        <f>References!$B$37</f>
        <v>15</v>
      </c>
      <c r="AQ15" s="212" t="e">
        <f>IF(AND(AK15&gt;0,L15&gt;0),ROUND((I15*12)*((1/AK15)-(1/L15)),References!$B$40),0)</f>
        <v>#VALUE!</v>
      </c>
      <c r="AR15" s="308" t="e">
        <f>IF(AND(AK15&gt;0,L15&gt;0),ROUND((J15*I15*12)*((1/AK15)-(1/L15)),References!$B$40),0)</f>
        <v>#VALUE!</v>
      </c>
      <c r="AS15" s="308" t="e">
        <f>IF(AND(AJ15=0,AK15=0),0,IF(AJ15&gt;0,ROUND((I15*12)*((1/AJ15)-(1/K15))*AA15,References!$B$43),ROUND((I15*12)*((1/AK15)-(1/L15))*AA15,References!$B$43)))</f>
        <v>#VALUE!</v>
      </c>
      <c r="AT15" s="308" t="e">
        <f>AS15*References!$B$29</f>
        <v>#VALUE!</v>
      </c>
      <c r="AU15" s="308" t="e">
        <f t="shared" si="11"/>
        <v>#VALUE!</v>
      </c>
      <c r="AV15" s="212">
        <f>IF(AND(N15&gt;0,AM15&gt;0,N15&lt;&gt;""),ROUND((I15*12)*((1/(AM15))-(1/(N15))),References!$B$40),IF(AND(M15&gt;0,AL15&gt;0,M15&lt;&gt;""),ROUND((I15*12)*(1/(AL15/3.412))-(1/(M15/3.412)),References!$B$40),IF(AND(N15&gt;0,N15&lt;&gt;""),ROUND((I15*12)*-(1/(N15/3.412)),References!$B$40),IF(AND(M15&gt;0,M15&lt;&gt;""),ROUND((I15*12)*-(1/(M15/3.412)),References!$B$40),0))))</f>
        <v>0</v>
      </c>
      <c r="AW15" s="308" t="e">
        <f t="shared" si="12"/>
        <v>#VALUE!</v>
      </c>
      <c r="AX15" s="308" t="e">
        <f>ROUND(AU15*AN15*AP15,References!$B$43)</f>
        <v>#VALUE!</v>
      </c>
      <c r="AY15" s="308" t="e">
        <f>IF(AND(AL15&gt;0,M15&gt;0),ROUND((I15*12)*((1/AL15)-(1/M15))*AB15*AO15,References!$B$43),IF(AND(AM15&gt;0,N15&gt;0),ROUND((I15*12)*((1/AM15)-(1/N15))*AB15*AO15/3.413,References!$B$43),0))</f>
        <v>#VALUE!</v>
      </c>
      <c r="AZ15" s="767">
        <f>IF(AND(OR($AI15="Existing Gas",$AI15="Existing Oil",$AI15="Existing Propane",$AI15="Baseline New Construction"),RIGHT(C15,10)="Heat Pumps"),IF(AND(M15&gt;0,M15&lt;&gt;""),ROUND(((I15*12)*((1/M15))*AB15*AO15)-AX15,References!$B$43),IF(AND(N15&gt;0,N15&lt;&gt;""),ROUND(((I15*12)*((1/N15))*AB15*AO15/3.412)-AX15,References!$B$43),0)),0)</f>
        <v>0</v>
      </c>
      <c r="BA15" s="308" t="e">
        <f>(AY15*References!$B$29)-(AZ15*References!$B$29)</f>
        <v>#VALUE!</v>
      </c>
      <c r="BB15" s="308" t="e">
        <f t="shared" si="13"/>
        <v>#VALUE!</v>
      </c>
      <c r="BC15" s="308" t="e">
        <f t="shared" si="14"/>
        <v>#VALUE!</v>
      </c>
      <c r="BD15" s="343" t="e">
        <f t="shared" si="15"/>
        <v>#VALUE!</v>
      </c>
      <c r="BE15" s="343" t="e">
        <f t="shared" si="16"/>
        <v>#VALUE!</v>
      </c>
      <c r="BF15" s="343" t="e">
        <f t="shared" si="17"/>
        <v>#VALUE!</v>
      </c>
      <c r="BG15" s="343" t="e">
        <f t="shared" si="18"/>
        <v>#VALUE!</v>
      </c>
      <c r="BH15" s="343" t="e">
        <f t="shared" si="19"/>
        <v>#VALUE!</v>
      </c>
      <c r="BI15" s="16" t="e">
        <f t="shared" si="20"/>
        <v>#VALUE!</v>
      </c>
      <c r="BJ15" s="343" t="e">
        <f t="shared" si="21"/>
        <v>#VALUE!</v>
      </c>
      <c r="BK15" s="343" t="e">
        <f t="shared" si="22"/>
        <v>#VALUE!</v>
      </c>
      <c r="BL15" s="63">
        <f t="shared" si="23"/>
        <v>0</v>
      </c>
      <c r="BM15" s="526">
        <f t="shared" si="24"/>
        <v>0</v>
      </c>
      <c r="BN15" s="10">
        <v>9</v>
      </c>
      <c r="BO15" s="561" t="str">
        <f t="shared" si="25"/>
        <v xml:space="preserve">  </v>
      </c>
      <c r="BP15" s="62" t="str">
        <f t="shared" si="26"/>
        <v/>
      </c>
      <c r="BQ15" s="89" t="str">
        <f t="shared" si="27"/>
        <v xml:space="preserve">   </v>
      </c>
      <c r="BR15" s="89" t="str">
        <f>IF(Y15="FAIL","",INDEX(References!$AH$4:$AH$90,MATCH(Calculations!BQ15,References!$AG$4:$AG$90,0)))</f>
        <v/>
      </c>
      <c r="BS15" s="88" t="e">
        <f>BD15*References!$B$21+IF(BE15&lt;0,0,BE15*References!$B$25)</f>
        <v>#VALUE!</v>
      </c>
      <c r="BT15" s="768" t="e">
        <f>IF(BE15&gt;0,0,BE15*References!$B$25)+AU15*INDEX(References!$F$136:$F$142,MATCH(AI15,References!$D$136:$D$142,0))</f>
        <v>#VALUE!</v>
      </c>
      <c r="BU15" s="88">
        <f>IF(BR15="",0,ROUND(INDEX(References!$E$118:$E$132,MATCH('HVAC Worksheet'!B25,References!$D$118:$D$132,0))*AQ15*J15,References!$B$40))</f>
        <v>0</v>
      </c>
    </row>
    <row r="16" spans="2:73" x14ac:dyDescent="0.3">
      <c r="B16" s="11">
        <v>10</v>
      </c>
      <c r="C16" s="15" t="str">
        <f>IF('HVAC Worksheet'!B26="","",'HVAC Worksheet'!B26)</f>
        <v/>
      </c>
      <c r="D16" s="13" t="str">
        <f>IF('HVAC Worksheet'!C26="","",'HVAC Worksheet'!C26)</f>
        <v/>
      </c>
      <c r="E16" s="13" t="str">
        <f>IF('HVAC Worksheet'!E26="","",'HVAC Worksheet'!E26)</f>
        <v/>
      </c>
      <c r="F16" s="13" t="str">
        <f>IF('HVAC Worksheet'!T26="","",'HVAC Worksheet'!T26)</f>
        <v/>
      </c>
      <c r="G16" s="590" t="str">
        <f>IF('HVAC Worksheet'!V26="","",'HVAC Worksheet'!V26)</f>
        <v/>
      </c>
      <c r="H16" s="511" t="str">
        <f t="shared" si="0"/>
        <v xml:space="preserve">  </v>
      </c>
      <c r="I16" s="15" t="str">
        <f>IF('HVAC Worksheet'!H26="","",'HVAC Worksheet'!H26)</f>
        <v/>
      </c>
      <c r="J16" s="14" t="str">
        <f>IF('HVAC Worksheet'!I26="","",'HVAC Worksheet'!I26)</f>
        <v/>
      </c>
      <c r="K16" s="15" t="str">
        <f>IF(LEFT('HVAC Worksheet'!B26,4)="Room",Calculations!L16,IF('HVAC Worksheet'!J26="","",'HVAC Worksheet'!J26))</f>
        <v/>
      </c>
      <c r="L16" s="13" t="str">
        <f>IF('HVAC Worksheet'!K26="","",'HVAC Worksheet'!K26)</f>
        <v/>
      </c>
      <c r="M16" s="13" t="str">
        <f>IF($H16="  ","",IF('HVAC Worksheet'!L26="",0,'HVAC Worksheet'!L26))</f>
        <v/>
      </c>
      <c r="N16" s="13" t="str">
        <f>IF($H16="  ","",IF('HVAC Worksheet'!M26="",0,'HVAC Worksheet'!M26))</f>
        <v/>
      </c>
      <c r="O16" s="15" t="str">
        <f>IF(H16="  ","",INDEX(HVAC_T1T2ReferenceTable,MATCH(H16,References!$AY$4:$AY$44,0),2))</f>
        <v/>
      </c>
      <c r="P16" s="13" t="str">
        <f t="shared" si="1"/>
        <v/>
      </c>
      <c r="Q16" s="13" t="str">
        <f t="shared" si="2"/>
        <v/>
      </c>
      <c r="R16" s="13" t="str">
        <f t="shared" si="3"/>
        <v/>
      </c>
      <c r="S16" s="13" t="str">
        <f>IF(LEFT(H16,4)="Room",References!$AU$4,"")</f>
        <v/>
      </c>
      <c r="T16" s="15" t="str">
        <f t="shared" si="4"/>
        <v/>
      </c>
      <c r="U16" s="13" t="str">
        <f t="shared" si="5"/>
        <v/>
      </c>
      <c r="V16" s="13" t="str">
        <f t="shared" si="6"/>
        <v/>
      </c>
      <c r="W16" s="13" t="str">
        <f t="shared" si="7"/>
        <v/>
      </c>
      <c r="X16" s="13" t="str">
        <f>IF(AND(N16="",R16&lt;&gt;0),"",IF(LEFT(H16,4)&lt;&gt;"Room","PASS",IF(LEFT(F16,4)&lt;&gt;"Room","FAIL",IF('HVAC Worksheet'!Y26&lt;=S16,"PASS","FAIL"))))</f>
        <v/>
      </c>
      <c r="Y16" s="511" t="str">
        <f t="shared" si="10"/>
        <v>FAIL</v>
      </c>
      <c r="Z16" s="15" t="str">
        <f t="shared" si="8"/>
        <v>Select …</v>
      </c>
      <c r="AA16" s="530" t="e">
        <f>IF(OR(Z16="",Z16="… please select …"),0,INDEX(References!$H$22:$H$43,MATCH(Z16,References!$G$22:$G$43,0)))</f>
        <v>#N/A</v>
      </c>
      <c r="AB16" s="61" t="e">
        <f>IF(OR(Z16="",Z16="… please select …"),0,INDEX(References!$I$22:$I$43,MATCH(Z16,References!$G$22:$G$43,0)))</f>
        <v>#N/A</v>
      </c>
      <c r="AF16" s="10">
        <v>10</v>
      </c>
      <c r="AG16" s="21" t="str">
        <f t="shared" si="9"/>
        <v xml:space="preserve">   </v>
      </c>
      <c r="AH16" s="21" t="str">
        <f>IF(OR('HVAC Worksheet'!$T26="",'HVAC Worksheet'!T26="None"),IF($H16="  ","","Baseline "&amp;INDEX(References!$W$4:$W$44,MATCH($H16,References!$T$4:$T$44,0))),"Existing "&amp;'HVAC Worksheet'!$T26)</f>
        <v/>
      </c>
      <c r="AI16" s="89" t="str">
        <f>IF(OR('HVAC Worksheet'!U26="",'HVAC Worksheet'!U26="None"),IF(I16="","","Baseline "&amp;INDEX(References!$X$4:$X$44,MATCH($H16,References!$T$4:$T$44,0))),"Existing "&amp;'HVAC Worksheet'!U26)</f>
        <v/>
      </c>
      <c r="AJ16" s="342" t="str">
        <f>_xlfn.IFNA(IF(OR('HVAC Worksheet'!X26=0,'HVAC Worksheet'!X26=""),IF(OR(LEFT(H16,3)="pac",LEFT(H16,4)="Room"),0,INDEX(References!$BL$5:$BL$44,MATCH(H16,References!$AY$5:$AY$44,0))),'HVAC Worksheet'!X26),"")</f>
        <v/>
      </c>
      <c r="AK16" s="343" t="str">
        <f>IF(H16="  ","",IF('HVAC Worksheet'!Y26="",IF(LEFT(H16,3)="Pac",(INDEX(References!$BM$4:$BM$44,MATCH(H16,References!$AY$4:$AY$44,0)))-(0.3*I16*12000/1000),INDEX(References!$BM$4:$BM$44,MATCH(H16,References!$AY$4:$AY$44,0))),'HVAC Worksheet'!Y26))</f>
        <v/>
      </c>
      <c r="AL16" s="765" t="str">
        <f>IF(H16="  ","",IF(OR($AI16="Existing Gas",$AI16="Existing Oil",$AI16="Existing Propane",$AI16="Baseline New Construction"),0,IF(AND('HVAC Worksheet'!AA26=0,'HVAC Worksheet'!Z26=0),IF(LEFT(H16,3)="pac",0,INDEX(References!$BN$4:$BN$44,MATCH(H16,References!$AY$4:$AY$44,0))),IF(AND('HVAC Worksheet'!AA26&gt;0,'HVAC Worksheet'!Z26=0),'HVAC Worksheet'!AA26*References!$B$49,'HVAC Worksheet'!Z26))))</f>
        <v/>
      </c>
      <c r="AM16" s="765" t="str">
        <f>IF($H16="  ","",IF(OR($AI16="Existing Gas",$AI16="Existing Oil",$AI16="Existing Propane",$AI16="Baseline New Construction"),0,IF(OR('HVAC Worksheet'!AA26="",'HVAC Worksheet'!AA26=0),IF(LEFT(H16,3)="Pac",(INDEX(References!$BN$4:$BN$44,MATCH(H16,References!$AY$4:$AY$44,0)))-INDEX(References!$BO$4:$BO$44,MATCH(H16,References!$AY$4:$AY$44,0))*I16*12000/1000,INDEX(References!$BO$4:$BO$44,MATCH(H16,References!$AY$4:$AY$44,0))),'HVAC Worksheet'!AA26)))</f>
        <v/>
      </c>
      <c r="AN16" s="781" t="str">
        <f>IF($H16="  ","",IF(OR($AI16="Existing Gas",$AI16="Existing Oil",$AI16="Existing Propane",$AI16="Baseline New Construction"),IF(OR('HVAC Worksheet'!AB26="",'HVAC Worksheet'!AB26=0),INDEX(References!$E$136:$E$140,MATCH(AI16,References!$D$136:$D$140,0)),'HVAC Worksheet'!AB26),0))</f>
        <v/>
      </c>
      <c r="AO16" s="766">
        <f>IF(OR(LEFT(AI16,8)="Existing",RIGHT(AI16,16)="New Construction"),References!$B$33,1)</f>
        <v>1</v>
      </c>
      <c r="AP16" s="525">
        <f>References!$B$37</f>
        <v>15</v>
      </c>
      <c r="AQ16" s="212" t="e">
        <f>IF(AND(AK16&gt;0,L16&gt;0),ROUND((I16*12)*((1/AK16)-(1/L16)),References!$B$40),0)</f>
        <v>#VALUE!</v>
      </c>
      <c r="AR16" s="308" t="e">
        <f>IF(AND(AK16&gt;0,L16&gt;0),ROUND((J16*I16*12)*((1/AK16)-(1/L16)),References!$B$40),0)</f>
        <v>#VALUE!</v>
      </c>
      <c r="AS16" s="308" t="e">
        <f>IF(AND(AJ16=0,AK16=0),0,IF(AJ16&gt;0,ROUND((I16*12)*((1/AJ16)-(1/K16))*AA16,References!$B$43),ROUND((I16*12)*((1/AK16)-(1/L16))*AA16,References!$B$43)))</f>
        <v>#VALUE!</v>
      </c>
      <c r="AT16" s="308" t="e">
        <f>AS16*References!$B$29</f>
        <v>#VALUE!</v>
      </c>
      <c r="AU16" s="308" t="e">
        <f t="shared" si="11"/>
        <v>#VALUE!</v>
      </c>
      <c r="AV16" s="212">
        <f>IF(AND(N16&gt;0,AM16&gt;0,N16&lt;&gt;""),ROUND((I16*12)*((1/(AM16))-(1/(N16))),References!$B$40),IF(AND(M16&gt;0,AL16&gt;0,M16&lt;&gt;""),ROUND((I16*12)*(1/(AL16/3.412))-(1/(M16/3.412)),References!$B$40),IF(AND(N16&gt;0,N16&lt;&gt;""),ROUND((I16*12)*-(1/(N16/3.412)),References!$B$40),IF(AND(M16&gt;0,M16&lt;&gt;""),ROUND((I16*12)*-(1/(M16/3.412)),References!$B$40),0))))</f>
        <v>0</v>
      </c>
      <c r="AW16" s="308" t="e">
        <f t="shared" si="12"/>
        <v>#VALUE!</v>
      </c>
      <c r="AX16" s="308" t="e">
        <f>ROUND(AU16*AN16*AP16,References!$B$43)</f>
        <v>#VALUE!</v>
      </c>
      <c r="AY16" s="308" t="e">
        <f>IF(AND(AL16&gt;0,M16&gt;0),ROUND((I16*12)*((1/AL16)-(1/M16))*AB16*AO16,References!$B$43),IF(AND(AM16&gt;0,N16&gt;0),ROUND((I16*12)*((1/AM16)-(1/N16))*AB16*AO16/3.413,References!$B$43),0))</f>
        <v>#VALUE!</v>
      </c>
      <c r="AZ16" s="767">
        <f>IF(AND(OR($AI16="Existing Gas",$AI16="Existing Oil",$AI16="Existing Propane",$AI16="Baseline New Construction"),RIGHT(C16,10)="Heat Pumps"),IF(AND(M16&gt;0,M16&lt;&gt;""),ROUND(((I16*12)*((1/M16))*AB16*AO16)-AX16,References!$B$43),IF(AND(N16&gt;0,N16&lt;&gt;""),ROUND(((I16*12)*((1/N16))*AB16*AO16/3.412)-AX16,References!$B$43),0)),0)</f>
        <v>0</v>
      </c>
      <c r="BA16" s="308" t="e">
        <f>(AY16*References!$B$29)-(AZ16*References!$B$29)</f>
        <v>#VALUE!</v>
      </c>
      <c r="BB16" s="308" t="e">
        <f t="shared" si="13"/>
        <v>#VALUE!</v>
      </c>
      <c r="BC16" s="308" t="e">
        <f t="shared" si="14"/>
        <v>#VALUE!</v>
      </c>
      <c r="BD16" s="343" t="e">
        <f t="shared" si="15"/>
        <v>#VALUE!</v>
      </c>
      <c r="BE16" s="343" t="e">
        <f t="shared" si="16"/>
        <v>#VALUE!</v>
      </c>
      <c r="BF16" s="343" t="e">
        <f t="shared" si="17"/>
        <v>#VALUE!</v>
      </c>
      <c r="BG16" s="343" t="e">
        <f t="shared" si="18"/>
        <v>#VALUE!</v>
      </c>
      <c r="BH16" s="343" t="e">
        <f t="shared" si="19"/>
        <v>#VALUE!</v>
      </c>
      <c r="BI16" s="16" t="e">
        <f t="shared" si="20"/>
        <v>#VALUE!</v>
      </c>
      <c r="BJ16" s="343" t="e">
        <f t="shared" si="21"/>
        <v>#VALUE!</v>
      </c>
      <c r="BK16" s="343" t="e">
        <f t="shared" si="22"/>
        <v>#VALUE!</v>
      </c>
      <c r="BL16" s="63">
        <f t="shared" si="23"/>
        <v>0</v>
      </c>
      <c r="BM16" s="526">
        <f t="shared" si="24"/>
        <v>0</v>
      </c>
      <c r="BN16" s="10">
        <v>10</v>
      </c>
      <c r="BO16" s="561" t="str">
        <f t="shared" si="25"/>
        <v xml:space="preserve">  </v>
      </c>
      <c r="BP16" s="62" t="str">
        <f t="shared" si="26"/>
        <v/>
      </c>
      <c r="BQ16" s="89" t="str">
        <f t="shared" si="27"/>
        <v xml:space="preserve">   </v>
      </c>
      <c r="BR16" s="89" t="str">
        <f>IF(Y16="FAIL","",INDEX(References!$AH$4:$AH$90,MATCH(Calculations!BQ16,References!$AG$4:$AG$90,0)))</f>
        <v/>
      </c>
      <c r="BS16" s="88" t="e">
        <f>BD16*References!$B$21+IF(BE16&lt;0,0,BE16*References!$B$25)</f>
        <v>#VALUE!</v>
      </c>
      <c r="BT16" s="768" t="e">
        <f>IF(BE16&gt;0,0,BE16*References!$B$25)+AU16*INDEX(References!$F$136:$F$142,MATCH(AI16,References!$D$136:$D$142,0))</f>
        <v>#VALUE!</v>
      </c>
      <c r="BU16" s="88">
        <f>IF(BR16="",0,ROUND(INDEX(References!$E$118:$E$132,MATCH('HVAC Worksheet'!B26,References!$D$118:$D$132,0))*AQ16*J16,References!$B$40))</f>
        <v>0</v>
      </c>
    </row>
    <row r="17" spans="2:73" x14ac:dyDescent="0.3">
      <c r="B17" s="11">
        <v>11</v>
      </c>
      <c r="C17" s="15" t="str">
        <f>IF('HVAC Worksheet'!B27="","",'HVAC Worksheet'!B27)</f>
        <v/>
      </c>
      <c r="D17" s="13" t="str">
        <f>IF('HVAC Worksheet'!C27="","",'HVAC Worksheet'!C27)</f>
        <v/>
      </c>
      <c r="E17" s="13" t="str">
        <f>IF('HVAC Worksheet'!E27="","",'HVAC Worksheet'!E27)</f>
        <v/>
      </c>
      <c r="F17" s="13" t="str">
        <f>IF('HVAC Worksheet'!T27="","",'HVAC Worksheet'!T27)</f>
        <v/>
      </c>
      <c r="G17" s="590" t="str">
        <f>IF('HVAC Worksheet'!V27="","",'HVAC Worksheet'!V27)</f>
        <v/>
      </c>
      <c r="H17" s="511" t="str">
        <f t="shared" si="0"/>
        <v xml:space="preserve">  </v>
      </c>
      <c r="I17" s="15" t="str">
        <f>IF('HVAC Worksheet'!H27="","",'HVAC Worksheet'!H27)</f>
        <v/>
      </c>
      <c r="J17" s="14" t="str">
        <f>IF('HVAC Worksheet'!I27="","",'HVAC Worksheet'!I27)</f>
        <v/>
      </c>
      <c r="K17" s="15" t="str">
        <f>IF(LEFT('HVAC Worksheet'!B27,4)="Room",Calculations!L17,IF('HVAC Worksheet'!J27="","",'HVAC Worksheet'!J27))</f>
        <v/>
      </c>
      <c r="L17" s="13" t="str">
        <f>IF('HVAC Worksheet'!K27="","",'HVAC Worksheet'!K27)</f>
        <v/>
      </c>
      <c r="M17" s="13" t="str">
        <f>IF($H17="  ","",IF('HVAC Worksheet'!L27="",0,'HVAC Worksheet'!L27))</f>
        <v/>
      </c>
      <c r="N17" s="13" t="str">
        <f>IF($H17="  ","",IF('HVAC Worksheet'!M27="",0,'HVAC Worksheet'!M27))</f>
        <v/>
      </c>
      <c r="O17" s="15" t="str">
        <f>IF(H17="  ","",INDEX(HVAC_T1T2ReferenceTable,MATCH(H17,References!$AY$4:$AY$44,0),2))</f>
        <v/>
      </c>
      <c r="P17" s="13" t="str">
        <f t="shared" si="1"/>
        <v/>
      </c>
      <c r="Q17" s="13" t="str">
        <f t="shared" si="2"/>
        <v/>
      </c>
      <c r="R17" s="13" t="str">
        <f t="shared" si="3"/>
        <v/>
      </c>
      <c r="S17" s="13" t="str">
        <f>IF(LEFT(H17,4)="Room",References!$AU$4,"")</f>
        <v/>
      </c>
      <c r="T17" s="15" t="str">
        <f t="shared" si="4"/>
        <v/>
      </c>
      <c r="U17" s="13" t="str">
        <f t="shared" si="5"/>
        <v/>
      </c>
      <c r="V17" s="13" t="str">
        <f t="shared" si="6"/>
        <v/>
      </c>
      <c r="W17" s="13" t="str">
        <f t="shared" si="7"/>
        <v/>
      </c>
      <c r="X17" s="13" t="str">
        <f>IF(AND(N17="",R17&lt;&gt;0),"",IF(LEFT(H17,4)&lt;&gt;"Room","PASS",IF(LEFT(F17,4)&lt;&gt;"Room","FAIL",IF('HVAC Worksheet'!Y27&lt;=S17,"PASS","FAIL"))))</f>
        <v/>
      </c>
      <c r="Y17" s="511" t="str">
        <f t="shared" si="10"/>
        <v>FAIL</v>
      </c>
      <c r="Z17" s="15" t="str">
        <f t="shared" si="8"/>
        <v>Select …</v>
      </c>
      <c r="AA17" s="530" t="e">
        <f>IF(OR(Z17="",Z17="… please select …"),0,INDEX(References!$H$22:$H$43,MATCH(Z17,References!$G$22:$G$43,0)))</f>
        <v>#N/A</v>
      </c>
      <c r="AB17" s="61" t="e">
        <f>IF(OR(Z17="",Z17="… please select …"),0,INDEX(References!$I$22:$I$43,MATCH(Z17,References!$G$22:$G$43,0)))</f>
        <v>#N/A</v>
      </c>
      <c r="AF17" s="10">
        <v>11</v>
      </c>
      <c r="AG17" s="21" t="str">
        <f t="shared" si="9"/>
        <v xml:space="preserve">   </v>
      </c>
      <c r="AH17" s="21" t="str">
        <f>IF(OR('HVAC Worksheet'!$T27="",'HVAC Worksheet'!T27="None"),IF($H17="  ","","Baseline "&amp;INDEX(References!$W$4:$W$44,MATCH($H17,References!$T$4:$T$44,0))),"Existing "&amp;'HVAC Worksheet'!$T27)</f>
        <v/>
      </c>
      <c r="AI17" s="89" t="str">
        <f>IF(OR('HVAC Worksheet'!U27="",'HVAC Worksheet'!U27="None"),IF(I17="","","Baseline "&amp;INDEX(References!$X$4:$X$44,MATCH($H17,References!$T$4:$T$44,0))),"Existing "&amp;'HVAC Worksheet'!U27)</f>
        <v/>
      </c>
      <c r="AJ17" s="342" t="str">
        <f>_xlfn.IFNA(IF(OR('HVAC Worksheet'!X27=0,'HVAC Worksheet'!X27=""),IF(OR(LEFT(H17,3)="pac",LEFT(H17,4)="Room"),0,INDEX(References!$BL$5:$BL$44,MATCH(H17,References!$AY$5:$AY$44,0))),'HVAC Worksheet'!X27),"")</f>
        <v/>
      </c>
      <c r="AK17" s="343" t="str">
        <f>IF(H17="  ","",IF('HVAC Worksheet'!Y27="",IF(LEFT(H17,3)="Pac",(INDEX(References!$BM$4:$BM$44,MATCH(H17,References!$AY$4:$AY$44,0)))-(0.3*I17*12000/1000),INDEX(References!$BM$4:$BM$44,MATCH(H17,References!$AY$4:$AY$44,0))),'HVAC Worksheet'!Y27))</f>
        <v/>
      </c>
      <c r="AL17" s="765" t="str">
        <f>IF(H17="  ","",IF(OR($AI17="Existing Gas",$AI17="Existing Oil",$AI17="Existing Propane",$AI17="Baseline New Construction"),0,IF(AND('HVAC Worksheet'!AA27=0,'HVAC Worksheet'!Z27=0),IF(LEFT(H17,3)="pac",0,INDEX(References!$BN$4:$BN$44,MATCH(H17,References!$AY$4:$AY$44,0))),IF(AND('HVAC Worksheet'!AA27&gt;0,'HVAC Worksheet'!Z27=0),'HVAC Worksheet'!AA27*References!$B$49,'HVAC Worksheet'!Z27))))</f>
        <v/>
      </c>
      <c r="AM17" s="765" t="str">
        <f>IF($H17="  ","",IF(OR($AI17="Existing Gas",$AI17="Existing Oil",$AI17="Existing Propane",$AI17="Baseline New Construction"),0,IF(OR('HVAC Worksheet'!AA27="",'HVAC Worksheet'!AA27=0),IF(LEFT(H17,3)="Pac",(INDEX(References!$BN$4:$BN$44,MATCH(H17,References!$AY$4:$AY$44,0)))-INDEX(References!$BO$4:$BO$44,MATCH(H17,References!$AY$4:$AY$44,0))*I17*12000/1000,INDEX(References!$BO$4:$BO$44,MATCH(H17,References!$AY$4:$AY$44,0))),'HVAC Worksheet'!AA27)))</f>
        <v/>
      </c>
      <c r="AN17" s="781" t="str">
        <f>IF($H17="  ","",IF(OR($AI17="Existing Gas",$AI17="Existing Oil",$AI17="Existing Propane",$AI17="Baseline New Construction"),IF(OR('HVAC Worksheet'!AB27="",'HVAC Worksheet'!AB27=0),INDEX(References!$E$136:$E$140,MATCH(AI17,References!$D$136:$D$140,0)),'HVAC Worksheet'!AB27),0))</f>
        <v/>
      </c>
      <c r="AO17" s="766">
        <f>IF(OR(LEFT(AI17,8)="Existing",RIGHT(AI17,16)="New Construction"),References!$B$33,1)</f>
        <v>1</v>
      </c>
      <c r="AP17" s="525">
        <f>References!$B$37</f>
        <v>15</v>
      </c>
      <c r="AQ17" s="212" t="e">
        <f>IF(AND(AK17&gt;0,L17&gt;0),ROUND((I17*12)*((1/AK17)-(1/L17)),References!$B$40),0)</f>
        <v>#VALUE!</v>
      </c>
      <c r="AR17" s="308" t="e">
        <f>IF(AND(AK17&gt;0,L17&gt;0),ROUND((J17*I17*12)*((1/AK17)-(1/L17)),References!$B$40),0)</f>
        <v>#VALUE!</v>
      </c>
      <c r="AS17" s="308" t="e">
        <f>IF(AND(AJ17=0,AK17=0),0,IF(AJ17&gt;0,ROUND((I17*12)*((1/AJ17)-(1/K17))*AA17,References!$B$43),ROUND((I17*12)*((1/AK17)-(1/L17))*AA17,References!$B$43)))</f>
        <v>#VALUE!</v>
      </c>
      <c r="AT17" s="308" t="e">
        <f>AS17*References!$B$29</f>
        <v>#VALUE!</v>
      </c>
      <c r="AU17" s="308" t="e">
        <f t="shared" si="11"/>
        <v>#VALUE!</v>
      </c>
      <c r="AV17" s="212">
        <f>IF(AND(N17&gt;0,AM17&gt;0,N17&lt;&gt;""),ROUND((I17*12)*((1/(AM17))-(1/(N17))),References!$B$40),IF(AND(M17&gt;0,AL17&gt;0,M17&lt;&gt;""),ROUND((I17*12)*(1/(AL17/3.412))-(1/(M17/3.412)),References!$B$40),IF(AND(N17&gt;0,N17&lt;&gt;""),ROUND((I17*12)*-(1/(N17/3.412)),References!$B$40),IF(AND(M17&gt;0,M17&lt;&gt;""),ROUND((I17*12)*-(1/(M17/3.412)),References!$B$40),0))))</f>
        <v>0</v>
      </c>
      <c r="AW17" s="308" t="e">
        <f t="shared" si="12"/>
        <v>#VALUE!</v>
      </c>
      <c r="AX17" s="308" t="e">
        <f>ROUND(AU17*AN17*AP17,References!$B$43)</f>
        <v>#VALUE!</v>
      </c>
      <c r="AY17" s="308" t="e">
        <f>IF(AND(AL17&gt;0,M17&gt;0),ROUND((I17*12)*((1/AL17)-(1/M17))*AB17*AO17,References!$B$43),IF(AND(AM17&gt;0,N17&gt;0),ROUND((I17*12)*((1/AM17)-(1/N17))*AB17*AO17/3.413,References!$B$43),0))</f>
        <v>#VALUE!</v>
      </c>
      <c r="AZ17" s="767">
        <f>IF(AND(OR($AI17="Existing Gas",$AI17="Existing Oil",$AI17="Existing Propane",$AI17="Baseline New Construction"),RIGHT(C17,10)="Heat Pumps"),IF(AND(M17&gt;0,M17&lt;&gt;""),ROUND(((I17*12)*((1/M17))*AB17*AO17)-AX17,References!$B$43),IF(AND(N17&gt;0,N17&lt;&gt;""),ROUND(((I17*12)*((1/N17))*AB17*AO17/3.412)-AX17,References!$B$43),0)),0)</f>
        <v>0</v>
      </c>
      <c r="BA17" s="308" t="e">
        <f>(AY17*References!$B$29)-(AZ17*References!$B$29)</f>
        <v>#VALUE!</v>
      </c>
      <c r="BB17" s="308" t="e">
        <f t="shared" si="13"/>
        <v>#VALUE!</v>
      </c>
      <c r="BC17" s="308" t="e">
        <f t="shared" si="14"/>
        <v>#VALUE!</v>
      </c>
      <c r="BD17" s="343" t="e">
        <f t="shared" si="15"/>
        <v>#VALUE!</v>
      </c>
      <c r="BE17" s="343" t="e">
        <f t="shared" si="16"/>
        <v>#VALUE!</v>
      </c>
      <c r="BF17" s="343" t="e">
        <f t="shared" si="17"/>
        <v>#VALUE!</v>
      </c>
      <c r="BG17" s="343" t="e">
        <f t="shared" si="18"/>
        <v>#VALUE!</v>
      </c>
      <c r="BH17" s="343" t="e">
        <f t="shared" si="19"/>
        <v>#VALUE!</v>
      </c>
      <c r="BI17" s="16" t="e">
        <f t="shared" si="20"/>
        <v>#VALUE!</v>
      </c>
      <c r="BJ17" s="343" t="e">
        <f t="shared" si="21"/>
        <v>#VALUE!</v>
      </c>
      <c r="BK17" s="343" t="e">
        <f t="shared" si="22"/>
        <v>#VALUE!</v>
      </c>
      <c r="BL17" s="63">
        <f t="shared" si="23"/>
        <v>0</v>
      </c>
      <c r="BM17" s="526">
        <f t="shared" si="24"/>
        <v>0</v>
      </c>
      <c r="BN17" s="10">
        <v>11</v>
      </c>
      <c r="BO17" s="561" t="str">
        <f t="shared" si="25"/>
        <v xml:space="preserve">  </v>
      </c>
      <c r="BP17" s="62" t="str">
        <f t="shared" si="26"/>
        <v/>
      </c>
      <c r="BQ17" s="89" t="str">
        <f t="shared" si="27"/>
        <v xml:space="preserve">   </v>
      </c>
      <c r="BR17" s="89" t="str">
        <f>IF(Y17="FAIL","",INDEX(References!$AH$4:$AH$90,MATCH(Calculations!BQ17,References!$AG$4:$AG$90,0)))</f>
        <v/>
      </c>
      <c r="BS17" s="88" t="e">
        <f>BD17*References!$B$21+IF(BE17&lt;0,0,BE17*References!$B$25)</f>
        <v>#VALUE!</v>
      </c>
      <c r="BT17" s="768" t="e">
        <f>IF(BE17&gt;0,0,BE17*References!$B$25)+AU17*INDEX(References!$F$136:$F$142,MATCH(AI17,References!$D$136:$D$142,0))</f>
        <v>#VALUE!</v>
      </c>
      <c r="BU17" s="88">
        <f>IF(BR17="",0,ROUND(INDEX(References!$E$118:$E$132,MATCH('HVAC Worksheet'!B27,References!$D$118:$D$132,0))*AQ17*J17,References!$B$40))</f>
        <v>0</v>
      </c>
    </row>
    <row r="18" spans="2:73" x14ac:dyDescent="0.3">
      <c r="B18" s="11">
        <v>12</v>
      </c>
      <c r="C18" s="15" t="str">
        <f>IF('HVAC Worksheet'!B28="","",'HVAC Worksheet'!B28)</f>
        <v/>
      </c>
      <c r="D18" s="13" t="str">
        <f>IF('HVAC Worksheet'!C28="","",'HVAC Worksheet'!C28)</f>
        <v/>
      </c>
      <c r="E18" s="13" t="str">
        <f>IF('HVAC Worksheet'!E28="","",'HVAC Worksheet'!E28)</f>
        <v/>
      </c>
      <c r="F18" s="13" t="str">
        <f>IF('HVAC Worksheet'!T28="","",'HVAC Worksheet'!T28)</f>
        <v/>
      </c>
      <c r="G18" s="590" t="str">
        <f>IF('HVAC Worksheet'!V28="","",'HVAC Worksheet'!V28)</f>
        <v/>
      </c>
      <c r="H18" s="511" t="str">
        <f t="shared" si="0"/>
        <v xml:space="preserve">  </v>
      </c>
      <c r="I18" s="15" t="str">
        <f>IF('HVAC Worksheet'!H28="","",'HVAC Worksheet'!H28)</f>
        <v/>
      </c>
      <c r="J18" s="14" t="str">
        <f>IF('HVAC Worksheet'!I28="","",'HVAC Worksheet'!I28)</f>
        <v/>
      </c>
      <c r="K18" s="15" t="str">
        <f>IF(LEFT('HVAC Worksheet'!B28,4)="Room",Calculations!L18,IF('HVAC Worksheet'!J28="","",'HVAC Worksheet'!J28))</f>
        <v/>
      </c>
      <c r="L18" s="13" t="str">
        <f>IF('HVAC Worksheet'!K28="","",'HVAC Worksheet'!K28)</f>
        <v/>
      </c>
      <c r="M18" s="13" t="str">
        <f>IF($H18="  ","",IF('HVAC Worksheet'!L28="",0,'HVAC Worksheet'!L28))</f>
        <v/>
      </c>
      <c r="N18" s="13" t="str">
        <f>IF($H18="  ","",IF('HVAC Worksheet'!M28="",0,'HVAC Worksheet'!M28))</f>
        <v/>
      </c>
      <c r="O18" s="15" t="str">
        <f>IF(H18="  ","",INDEX(HVAC_T1T2ReferenceTable,MATCH(H18,References!$AY$4:$AY$44,0),2))</f>
        <v/>
      </c>
      <c r="P18" s="13" t="str">
        <f t="shared" si="1"/>
        <v/>
      </c>
      <c r="Q18" s="13" t="str">
        <f t="shared" si="2"/>
        <v/>
      </c>
      <c r="R18" s="13" t="str">
        <f t="shared" si="3"/>
        <v/>
      </c>
      <c r="S18" s="13" t="str">
        <f>IF(LEFT(H18,4)="Room",References!$AU$4,"")</f>
        <v/>
      </c>
      <c r="T18" s="15" t="str">
        <f t="shared" si="4"/>
        <v/>
      </c>
      <c r="U18" s="13" t="str">
        <f t="shared" si="5"/>
        <v/>
      </c>
      <c r="V18" s="13" t="str">
        <f t="shared" si="6"/>
        <v/>
      </c>
      <c r="W18" s="13" t="str">
        <f t="shared" si="7"/>
        <v/>
      </c>
      <c r="X18" s="13" t="str">
        <f>IF(AND(N18="",R18&lt;&gt;0),"",IF(LEFT(H18,4)&lt;&gt;"Room","PASS",IF(LEFT(F18,4)&lt;&gt;"Room","FAIL",IF('HVAC Worksheet'!Y28&lt;=S18,"PASS","FAIL"))))</f>
        <v/>
      </c>
      <c r="Y18" s="511" t="str">
        <f t="shared" si="10"/>
        <v>FAIL</v>
      </c>
      <c r="Z18" s="15" t="str">
        <f t="shared" si="8"/>
        <v>Select …</v>
      </c>
      <c r="AA18" s="530" t="e">
        <f>IF(OR(Z18="",Z18="… please select …"),0,INDEX(References!$H$22:$H$43,MATCH(Z18,References!$G$22:$G$43,0)))</f>
        <v>#N/A</v>
      </c>
      <c r="AB18" s="61" t="e">
        <f>IF(OR(Z18="",Z18="… please select …"),0,INDEX(References!$I$22:$I$43,MATCH(Z18,References!$G$22:$G$43,0)))</f>
        <v>#N/A</v>
      </c>
      <c r="AF18" s="10">
        <v>12</v>
      </c>
      <c r="AG18" s="21" t="str">
        <f t="shared" si="9"/>
        <v xml:space="preserve">   </v>
      </c>
      <c r="AH18" s="21" t="str">
        <f>IF(OR('HVAC Worksheet'!$T28="",'HVAC Worksheet'!T28="None"),IF($H18="  ","","Baseline "&amp;INDEX(References!$W$4:$W$44,MATCH($H18,References!$T$4:$T$44,0))),"Existing "&amp;'HVAC Worksheet'!$T28)</f>
        <v/>
      </c>
      <c r="AI18" s="89" t="str">
        <f>IF(OR('HVAC Worksheet'!U28="",'HVAC Worksheet'!U28="None"),IF(I18="","","Baseline "&amp;INDEX(References!$X$4:$X$44,MATCH($H18,References!$T$4:$T$44,0))),"Existing "&amp;'HVAC Worksheet'!U28)</f>
        <v/>
      </c>
      <c r="AJ18" s="342" t="str">
        <f>_xlfn.IFNA(IF(OR('HVAC Worksheet'!X28=0,'HVAC Worksheet'!X28=""),IF(OR(LEFT(H18,3)="pac",LEFT(H18,4)="Room"),0,INDEX(References!$BL$5:$BL$44,MATCH(H18,References!$AY$5:$AY$44,0))),'HVAC Worksheet'!X28),"")</f>
        <v/>
      </c>
      <c r="AK18" s="343" t="str">
        <f>IF(H18="  ","",IF('HVAC Worksheet'!Y28="",IF(LEFT(H18,3)="Pac",(INDEX(References!$BM$4:$BM$44,MATCH(H18,References!$AY$4:$AY$44,0)))-(0.3*I18*12000/1000),INDEX(References!$BM$4:$BM$44,MATCH(H18,References!$AY$4:$AY$44,0))),'HVAC Worksheet'!Y28))</f>
        <v/>
      </c>
      <c r="AL18" s="765" t="str">
        <f>IF(H18="  ","",IF(OR($AI18="Existing Gas",$AI18="Existing Oil",$AI18="Existing Propane",$AI18="Baseline New Construction"),0,IF(AND('HVAC Worksheet'!AA28=0,'HVAC Worksheet'!Z28=0),IF(LEFT(H18,3)="pac",0,INDEX(References!$BN$4:$BN$44,MATCH(H18,References!$AY$4:$AY$44,0))),IF(AND('HVAC Worksheet'!AA28&gt;0,'HVAC Worksheet'!Z28=0),'HVAC Worksheet'!AA28*References!$B$49,'HVAC Worksheet'!Z28))))</f>
        <v/>
      </c>
      <c r="AM18" s="765" t="str">
        <f>IF($H18="  ","",IF(OR($AI18="Existing Gas",$AI18="Existing Oil",$AI18="Existing Propane",$AI18="Baseline New Construction"),0,IF(OR('HVAC Worksheet'!AA28="",'HVAC Worksheet'!AA28=0),IF(LEFT(H18,3)="Pac",(INDEX(References!$BN$4:$BN$44,MATCH(H18,References!$AY$4:$AY$44,0)))-INDEX(References!$BO$4:$BO$44,MATCH(H18,References!$AY$4:$AY$44,0))*I18*12000/1000,INDEX(References!$BO$4:$BO$44,MATCH(H18,References!$AY$4:$AY$44,0))),'HVAC Worksheet'!AA28)))</f>
        <v/>
      </c>
      <c r="AN18" s="781" t="str">
        <f>IF($H18="  ","",IF(OR($AI18="Existing Gas",$AI18="Existing Oil",$AI18="Existing Propane",$AI18="Baseline New Construction"),IF(OR('HVAC Worksheet'!AB28="",'HVAC Worksheet'!AB28=0),INDEX(References!$E$136:$E$140,MATCH(AI18,References!$D$136:$D$140,0)),'HVAC Worksheet'!AB28),0))</f>
        <v/>
      </c>
      <c r="AO18" s="766">
        <f>IF(OR(LEFT(AI18,8)="Existing",RIGHT(AI18,16)="New Construction"),References!$B$33,1)</f>
        <v>1</v>
      </c>
      <c r="AP18" s="525">
        <f>References!$B$37</f>
        <v>15</v>
      </c>
      <c r="AQ18" s="212" t="e">
        <f>IF(AND(AK18&gt;0,L18&gt;0),ROUND((I18*12)*((1/AK18)-(1/L18)),References!$B$40),0)</f>
        <v>#VALUE!</v>
      </c>
      <c r="AR18" s="308" t="e">
        <f>IF(AND(AK18&gt;0,L18&gt;0),ROUND((J18*I18*12)*((1/AK18)-(1/L18)),References!$B$40),0)</f>
        <v>#VALUE!</v>
      </c>
      <c r="AS18" s="308" t="e">
        <f>IF(AND(AJ18=0,AK18=0),0,IF(AJ18&gt;0,ROUND((I18*12)*((1/AJ18)-(1/K18))*AA18,References!$B$43),ROUND((I18*12)*((1/AK18)-(1/L18))*AA18,References!$B$43)))</f>
        <v>#VALUE!</v>
      </c>
      <c r="AT18" s="308" t="e">
        <f>AS18*References!$B$29</f>
        <v>#VALUE!</v>
      </c>
      <c r="AU18" s="308" t="e">
        <f t="shared" si="11"/>
        <v>#VALUE!</v>
      </c>
      <c r="AV18" s="212">
        <f>IF(AND(N18&gt;0,AM18&gt;0,N18&lt;&gt;""),ROUND((I18*12)*((1/(AM18))-(1/(N18))),References!$B$40),IF(AND(M18&gt;0,AL18&gt;0,M18&lt;&gt;""),ROUND((I18*12)*(1/(AL18/3.412))-(1/(M18/3.412)),References!$B$40),IF(AND(N18&gt;0,N18&lt;&gt;""),ROUND((I18*12)*-(1/(N18/3.412)),References!$B$40),IF(AND(M18&gt;0,M18&lt;&gt;""),ROUND((I18*12)*-(1/(M18/3.412)),References!$B$40),0))))</f>
        <v>0</v>
      </c>
      <c r="AW18" s="308" t="e">
        <f t="shared" si="12"/>
        <v>#VALUE!</v>
      </c>
      <c r="AX18" s="308" t="e">
        <f>ROUND(AU18*AN18*AP18,References!$B$43)</f>
        <v>#VALUE!</v>
      </c>
      <c r="AY18" s="308" t="e">
        <f>IF(AND(AL18&gt;0,M18&gt;0),ROUND((I18*12)*((1/AL18)-(1/M18))*AB18*AO18,References!$B$43),IF(AND(AM18&gt;0,N18&gt;0),ROUND((I18*12)*((1/AM18)-(1/N18))*AB18*AO18/3.413,References!$B$43),0))</f>
        <v>#VALUE!</v>
      </c>
      <c r="AZ18" s="767">
        <f>IF(AND(OR($AI18="Existing Gas",$AI18="Existing Oil",$AI18="Existing Propane",$AI18="Baseline New Construction"),RIGHT(C18,10)="Heat Pumps"),IF(AND(M18&gt;0,M18&lt;&gt;""),ROUND(((I18*12)*((1/M18))*AB18*AO18)-AX18,References!$B$43),IF(AND(N18&gt;0,N18&lt;&gt;""),ROUND(((I18*12)*((1/N18))*AB18*AO18/3.412)-AX18,References!$B$43),0)),0)</f>
        <v>0</v>
      </c>
      <c r="BA18" s="308" t="e">
        <f>(AY18*References!$B$29)-(AZ18*References!$B$29)</f>
        <v>#VALUE!</v>
      </c>
      <c r="BB18" s="308" t="e">
        <f t="shared" si="13"/>
        <v>#VALUE!</v>
      </c>
      <c r="BC18" s="308" t="e">
        <f t="shared" si="14"/>
        <v>#VALUE!</v>
      </c>
      <c r="BD18" s="343" t="e">
        <f t="shared" si="15"/>
        <v>#VALUE!</v>
      </c>
      <c r="BE18" s="343" t="e">
        <f t="shared" si="16"/>
        <v>#VALUE!</v>
      </c>
      <c r="BF18" s="343" t="e">
        <f t="shared" si="17"/>
        <v>#VALUE!</v>
      </c>
      <c r="BG18" s="343" t="e">
        <f t="shared" si="18"/>
        <v>#VALUE!</v>
      </c>
      <c r="BH18" s="343" t="e">
        <f t="shared" si="19"/>
        <v>#VALUE!</v>
      </c>
      <c r="BI18" s="16" t="e">
        <f t="shared" si="20"/>
        <v>#VALUE!</v>
      </c>
      <c r="BJ18" s="343" t="e">
        <f t="shared" si="21"/>
        <v>#VALUE!</v>
      </c>
      <c r="BK18" s="343" t="e">
        <f t="shared" si="22"/>
        <v>#VALUE!</v>
      </c>
      <c r="BL18" s="63">
        <f t="shared" si="23"/>
        <v>0</v>
      </c>
      <c r="BM18" s="526">
        <f t="shared" si="24"/>
        <v>0</v>
      </c>
      <c r="BN18" s="10">
        <v>12</v>
      </c>
      <c r="BO18" s="561" t="str">
        <f t="shared" si="25"/>
        <v xml:space="preserve">  </v>
      </c>
      <c r="BP18" s="62" t="str">
        <f t="shared" si="26"/>
        <v/>
      </c>
      <c r="BQ18" s="89" t="str">
        <f t="shared" si="27"/>
        <v xml:space="preserve">   </v>
      </c>
      <c r="BR18" s="89" t="str">
        <f>IF(Y18="FAIL","",INDEX(References!$AH$4:$AH$90,MATCH(Calculations!BQ18,References!$AG$4:$AG$90,0)))</f>
        <v/>
      </c>
      <c r="BS18" s="88" t="e">
        <f>BD18*References!$B$21+IF(BE18&lt;0,0,BE18*References!$B$25)</f>
        <v>#VALUE!</v>
      </c>
      <c r="BT18" s="768" t="e">
        <f>IF(BE18&gt;0,0,BE18*References!$B$25)+AU18*INDEX(References!$F$136:$F$142,MATCH(AI18,References!$D$136:$D$142,0))</f>
        <v>#VALUE!</v>
      </c>
      <c r="BU18" s="88">
        <f>IF(BR18="",0,ROUND(INDEX(References!$E$118:$E$132,MATCH('HVAC Worksheet'!B28,References!$D$118:$D$132,0))*AQ18*J18,References!$B$40))</f>
        <v>0</v>
      </c>
    </row>
    <row r="19" spans="2:73" x14ac:dyDescent="0.3">
      <c r="B19" s="11">
        <v>13</v>
      </c>
      <c r="C19" s="15" t="str">
        <f>IF('HVAC Worksheet'!B29="","",'HVAC Worksheet'!B29)</f>
        <v/>
      </c>
      <c r="D19" s="13" t="str">
        <f>IF('HVAC Worksheet'!C29="","",'HVAC Worksheet'!C29)</f>
        <v/>
      </c>
      <c r="E19" s="13" t="str">
        <f>IF('HVAC Worksheet'!E29="","",'HVAC Worksheet'!E29)</f>
        <v/>
      </c>
      <c r="F19" s="13" t="str">
        <f>IF('HVAC Worksheet'!T29="","",'HVAC Worksheet'!T29)</f>
        <v/>
      </c>
      <c r="G19" s="590" t="str">
        <f>IF('HVAC Worksheet'!V29="","",'HVAC Worksheet'!V29)</f>
        <v/>
      </c>
      <c r="H19" s="511" t="str">
        <f t="shared" si="0"/>
        <v xml:space="preserve">  </v>
      </c>
      <c r="I19" s="15" t="str">
        <f>IF('HVAC Worksheet'!H29="","",'HVAC Worksheet'!H29)</f>
        <v/>
      </c>
      <c r="J19" s="14" t="str">
        <f>IF('HVAC Worksheet'!I29="","",'HVAC Worksheet'!I29)</f>
        <v/>
      </c>
      <c r="K19" s="15" t="str">
        <f>IF(LEFT('HVAC Worksheet'!B29,4)="Room",Calculations!L19,IF('HVAC Worksheet'!J29="","",'HVAC Worksheet'!J29))</f>
        <v/>
      </c>
      <c r="L19" s="13" t="str">
        <f>IF('HVAC Worksheet'!K29="","",'HVAC Worksheet'!K29)</f>
        <v/>
      </c>
      <c r="M19" s="13" t="str">
        <f>IF($H19="  ","",IF('HVAC Worksheet'!L29="",0,'HVAC Worksheet'!L29))</f>
        <v/>
      </c>
      <c r="N19" s="13" t="str">
        <f>IF($H19="  ","",IF('HVAC Worksheet'!M29="",0,'HVAC Worksheet'!M29))</f>
        <v/>
      </c>
      <c r="O19" s="15" t="str">
        <f>IF(H19="  ","",INDEX(HVAC_T1T2ReferenceTable,MATCH(H19,References!$AY$4:$AY$44,0),2))</f>
        <v/>
      </c>
      <c r="P19" s="13" t="str">
        <f t="shared" si="1"/>
        <v/>
      </c>
      <c r="Q19" s="13" t="str">
        <f t="shared" si="2"/>
        <v/>
      </c>
      <c r="R19" s="13" t="str">
        <f t="shared" si="3"/>
        <v/>
      </c>
      <c r="S19" s="13" t="str">
        <f>IF(LEFT(H19,4)="Room",References!$AU$4,"")</f>
        <v/>
      </c>
      <c r="T19" s="15" t="str">
        <f t="shared" si="4"/>
        <v/>
      </c>
      <c r="U19" s="13" t="str">
        <f t="shared" si="5"/>
        <v/>
      </c>
      <c r="V19" s="13" t="str">
        <f t="shared" si="6"/>
        <v/>
      </c>
      <c r="W19" s="13" t="str">
        <f t="shared" si="7"/>
        <v/>
      </c>
      <c r="X19" s="13" t="str">
        <f>IF(AND(N19="",R19&lt;&gt;0),"",IF(LEFT(H19,4)&lt;&gt;"Room","PASS",IF(LEFT(F19,4)&lt;&gt;"Room","FAIL",IF('HVAC Worksheet'!Y29&lt;=S19,"PASS","FAIL"))))</f>
        <v/>
      </c>
      <c r="Y19" s="511" t="str">
        <f t="shared" si="10"/>
        <v>FAIL</v>
      </c>
      <c r="Z19" s="15" t="str">
        <f t="shared" si="8"/>
        <v>Select …</v>
      </c>
      <c r="AA19" s="530" t="e">
        <f>IF(OR(Z19="",Z19="… please select …"),0,INDEX(References!$H$22:$H$43,MATCH(Z19,References!$G$22:$G$43,0)))</f>
        <v>#N/A</v>
      </c>
      <c r="AB19" s="61" t="e">
        <f>IF(OR(Z19="",Z19="… please select …"),0,INDEX(References!$I$22:$I$43,MATCH(Z19,References!$G$22:$G$43,0)))</f>
        <v>#N/A</v>
      </c>
      <c r="AF19" s="10">
        <v>13</v>
      </c>
      <c r="AG19" s="21" t="str">
        <f t="shared" si="9"/>
        <v xml:space="preserve">   </v>
      </c>
      <c r="AH19" s="21" t="str">
        <f>IF(OR('HVAC Worksheet'!$T29="",'HVAC Worksheet'!T29="None"),IF($H19="  ","","Baseline "&amp;INDEX(References!$W$4:$W$44,MATCH($H19,References!$T$4:$T$44,0))),"Existing "&amp;'HVAC Worksheet'!$T29)</f>
        <v/>
      </c>
      <c r="AI19" s="89" t="str">
        <f>IF(OR('HVAC Worksheet'!U29="",'HVAC Worksheet'!U29="None"),IF(I19="","","Baseline "&amp;INDEX(References!$X$4:$X$44,MATCH($H19,References!$T$4:$T$44,0))),"Existing "&amp;'HVAC Worksheet'!U29)</f>
        <v/>
      </c>
      <c r="AJ19" s="342" t="str">
        <f>_xlfn.IFNA(IF(OR('HVAC Worksheet'!X29=0,'HVAC Worksheet'!X29=""),IF(OR(LEFT(H19,3)="pac",LEFT(H19,4)="Room"),0,INDEX(References!$BL$5:$BL$44,MATCH(H19,References!$AY$5:$AY$44,0))),'HVAC Worksheet'!X29),"")</f>
        <v/>
      </c>
      <c r="AK19" s="343" t="str">
        <f>IF(H19="  ","",IF('HVAC Worksheet'!Y29="",IF(LEFT(H19,3)="Pac",(INDEX(References!$BM$4:$BM$44,MATCH(H19,References!$AY$4:$AY$44,0)))-(0.3*I19*12000/1000),INDEX(References!$BM$4:$BM$44,MATCH(H19,References!$AY$4:$AY$44,0))),'HVAC Worksheet'!Y29))</f>
        <v/>
      </c>
      <c r="AL19" s="765" t="str">
        <f>IF(H19="  ","",IF(OR($AI19="Existing Gas",$AI19="Existing Oil",$AI19="Existing Propane",$AI19="Baseline New Construction"),0,IF(AND('HVAC Worksheet'!AA29=0,'HVAC Worksheet'!Z29=0),IF(LEFT(H19,3)="pac",0,INDEX(References!$BN$4:$BN$44,MATCH(H19,References!$AY$4:$AY$44,0))),IF(AND('HVAC Worksheet'!AA29&gt;0,'HVAC Worksheet'!Z29=0),'HVAC Worksheet'!AA29*References!$B$49,'HVAC Worksheet'!Z29))))</f>
        <v/>
      </c>
      <c r="AM19" s="765" t="str">
        <f>IF($H19="  ","",IF(OR($AI19="Existing Gas",$AI19="Existing Oil",$AI19="Existing Propane",$AI19="Baseline New Construction"),0,IF(OR('HVAC Worksheet'!AA29="",'HVAC Worksheet'!AA29=0),IF(LEFT(H19,3)="Pac",(INDEX(References!$BN$4:$BN$44,MATCH(H19,References!$AY$4:$AY$44,0)))-INDEX(References!$BO$4:$BO$44,MATCH(H19,References!$AY$4:$AY$44,0))*I19*12000/1000,INDEX(References!$BO$4:$BO$44,MATCH(H19,References!$AY$4:$AY$44,0))),'HVAC Worksheet'!AA29)))</f>
        <v/>
      </c>
      <c r="AN19" s="781" t="str">
        <f>IF($H19="  ","",IF(OR($AI19="Existing Gas",$AI19="Existing Oil",$AI19="Existing Propane",$AI19="Baseline New Construction"),IF(OR('HVAC Worksheet'!AB29="",'HVAC Worksheet'!AB29=0),INDEX(References!$E$136:$E$140,MATCH(AI19,References!$D$136:$D$140,0)),'HVAC Worksheet'!AB29),0))</f>
        <v/>
      </c>
      <c r="AO19" s="766">
        <f>IF(OR(LEFT(AI19,8)="Existing",RIGHT(AI19,16)="New Construction"),References!$B$33,1)</f>
        <v>1</v>
      </c>
      <c r="AP19" s="525">
        <f>References!$B$37</f>
        <v>15</v>
      </c>
      <c r="AQ19" s="212" t="e">
        <f>IF(AND(AK19&gt;0,L19&gt;0),ROUND((I19*12)*((1/AK19)-(1/L19)),References!$B$40),0)</f>
        <v>#VALUE!</v>
      </c>
      <c r="AR19" s="308" t="e">
        <f>IF(AND(AK19&gt;0,L19&gt;0),ROUND((J19*I19*12)*((1/AK19)-(1/L19)),References!$B$40),0)</f>
        <v>#VALUE!</v>
      </c>
      <c r="AS19" s="308" t="e">
        <f>IF(AND(AJ19=0,AK19=0),0,IF(AJ19&gt;0,ROUND((I19*12)*((1/AJ19)-(1/K19))*AA19,References!$B$43),ROUND((I19*12)*((1/AK19)-(1/L19))*AA19,References!$B$43)))</f>
        <v>#VALUE!</v>
      </c>
      <c r="AT19" s="308" t="e">
        <f>AS19*References!$B$29</f>
        <v>#VALUE!</v>
      </c>
      <c r="AU19" s="308" t="e">
        <f t="shared" si="11"/>
        <v>#VALUE!</v>
      </c>
      <c r="AV19" s="212">
        <f>IF(AND(N19&gt;0,AM19&gt;0,N19&lt;&gt;""),ROUND((I19*12)*((1/(AM19))-(1/(N19))),References!$B$40),IF(AND(M19&gt;0,AL19&gt;0,M19&lt;&gt;""),ROUND((I19*12)*(1/(AL19/3.412))-(1/(M19/3.412)),References!$B$40),IF(AND(N19&gt;0,N19&lt;&gt;""),ROUND((I19*12)*-(1/(N19/3.412)),References!$B$40),IF(AND(M19&gt;0,M19&lt;&gt;""),ROUND((I19*12)*-(1/(M19/3.412)),References!$B$40),0))))</f>
        <v>0</v>
      </c>
      <c r="AW19" s="308" t="e">
        <f t="shared" si="12"/>
        <v>#VALUE!</v>
      </c>
      <c r="AX19" s="308" t="e">
        <f>ROUND(AU19*AN19*AP19,References!$B$43)</f>
        <v>#VALUE!</v>
      </c>
      <c r="AY19" s="308" t="e">
        <f>IF(AND(AL19&gt;0,M19&gt;0),ROUND((I19*12)*((1/AL19)-(1/M19))*AB19*AO19,References!$B$43),IF(AND(AM19&gt;0,N19&gt;0),ROUND((I19*12)*((1/AM19)-(1/N19))*AB19*AO19/3.413,References!$B$43),0))</f>
        <v>#VALUE!</v>
      </c>
      <c r="AZ19" s="767">
        <f>IF(AND(OR($AI19="Existing Gas",$AI19="Existing Oil",$AI19="Existing Propane",$AI19="Baseline New Construction"),RIGHT(C19,10)="Heat Pumps"),IF(AND(M19&gt;0,M19&lt;&gt;""),ROUND(((I19*12)*((1/M19))*AB19*AO19)-AX19,References!$B$43),IF(AND(N19&gt;0,N19&lt;&gt;""),ROUND(((I19*12)*((1/N19))*AB19*AO19/3.412)-AX19,References!$B$43),0)),0)</f>
        <v>0</v>
      </c>
      <c r="BA19" s="308" t="e">
        <f>(AY19*References!$B$29)-(AZ19*References!$B$29)</f>
        <v>#VALUE!</v>
      </c>
      <c r="BB19" s="308" t="e">
        <f t="shared" si="13"/>
        <v>#VALUE!</v>
      </c>
      <c r="BC19" s="308" t="e">
        <f t="shared" si="14"/>
        <v>#VALUE!</v>
      </c>
      <c r="BD19" s="343" t="e">
        <f t="shared" si="15"/>
        <v>#VALUE!</v>
      </c>
      <c r="BE19" s="343" t="e">
        <f t="shared" si="16"/>
        <v>#VALUE!</v>
      </c>
      <c r="BF19" s="343" t="e">
        <f t="shared" si="17"/>
        <v>#VALUE!</v>
      </c>
      <c r="BG19" s="343" t="e">
        <f t="shared" si="18"/>
        <v>#VALUE!</v>
      </c>
      <c r="BH19" s="343" t="e">
        <f t="shared" si="19"/>
        <v>#VALUE!</v>
      </c>
      <c r="BI19" s="16" t="e">
        <f t="shared" si="20"/>
        <v>#VALUE!</v>
      </c>
      <c r="BJ19" s="343" t="e">
        <f t="shared" si="21"/>
        <v>#VALUE!</v>
      </c>
      <c r="BK19" s="343" t="e">
        <f t="shared" si="22"/>
        <v>#VALUE!</v>
      </c>
      <c r="BL19" s="63">
        <f t="shared" si="23"/>
        <v>0</v>
      </c>
      <c r="BM19" s="526">
        <f t="shared" si="24"/>
        <v>0</v>
      </c>
      <c r="BN19" s="10">
        <v>13</v>
      </c>
      <c r="BO19" s="561" t="str">
        <f t="shared" si="25"/>
        <v xml:space="preserve">  </v>
      </c>
      <c r="BP19" s="62" t="str">
        <f t="shared" si="26"/>
        <v/>
      </c>
      <c r="BQ19" s="89" t="str">
        <f t="shared" si="27"/>
        <v xml:space="preserve">   </v>
      </c>
      <c r="BR19" s="89" t="str">
        <f>IF(Y19="FAIL","",INDEX(References!$AH$4:$AH$90,MATCH(Calculations!BQ19,References!$AG$4:$AG$90,0)))</f>
        <v/>
      </c>
      <c r="BS19" s="88" t="e">
        <f>BD19*References!$B$21+IF(BE19&lt;0,0,BE19*References!$B$25)</f>
        <v>#VALUE!</v>
      </c>
      <c r="BT19" s="768" t="e">
        <f>IF(BE19&gt;0,0,BE19*References!$B$25)+AU19*INDEX(References!$F$136:$F$142,MATCH(AI19,References!$D$136:$D$142,0))</f>
        <v>#VALUE!</v>
      </c>
      <c r="BU19" s="88">
        <f>IF(BR19="",0,ROUND(INDEX(References!$E$118:$E$132,MATCH('HVAC Worksheet'!B29,References!$D$118:$D$132,0))*AQ19*J19,References!$B$40))</f>
        <v>0</v>
      </c>
    </row>
    <row r="20" spans="2:73" x14ac:dyDescent="0.3">
      <c r="B20" s="11">
        <v>14</v>
      </c>
      <c r="C20" s="15" t="str">
        <f>IF('HVAC Worksheet'!B30="","",'HVAC Worksheet'!B30)</f>
        <v/>
      </c>
      <c r="D20" s="13" t="str">
        <f>IF('HVAC Worksheet'!C30="","",'HVAC Worksheet'!C30)</f>
        <v/>
      </c>
      <c r="E20" s="13" t="str">
        <f>IF('HVAC Worksheet'!E30="","",'HVAC Worksheet'!E30)</f>
        <v/>
      </c>
      <c r="F20" s="13" t="str">
        <f>IF('HVAC Worksheet'!T30="","",'HVAC Worksheet'!T30)</f>
        <v/>
      </c>
      <c r="G20" s="590" t="str">
        <f>IF('HVAC Worksheet'!V30="","",'HVAC Worksheet'!V30)</f>
        <v/>
      </c>
      <c r="H20" s="511" t="str">
        <f t="shared" si="0"/>
        <v xml:space="preserve">  </v>
      </c>
      <c r="I20" s="15" t="str">
        <f>IF('HVAC Worksheet'!H30="","",'HVAC Worksheet'!H30)</f>
        <v/>
      </c>
      <c r="J20" s="14" t="str">
        <f>IF('HVAC Worksheet'!I30="","",'HVAC Worksheet'!I30)</f>
        <v/>
      </c>
      <c r="K20" s="15" t="str">
        <f>IF(LEFT('HVAC Worksheet'!B30,4)="Room",Calculations!L20,IF('HVAC Worksheet'!J30="","",'HVAC Worksheet'!J30))</f>
        <v/>
      </c>
      <c r="L20" s="13" t="str">
        <f>IF('HVAC Worksheet'!K30="","",'HVAC Worksheet'!K30)</f>
        <v/>
      </c>
      <c r="M20" s="13" t="str">
        <f>IF($H20="  ","",IF('HVAC Worksheet'!L30="",0,'HVAC Worksheet'!L30))</f>
        <v/>
      </c>
      <c r="N20" s="13" t="str">
        <f>IF($H20="  ","",IF('HVAC Worksheet'!M30="",0,'HVAC Worksheet'!M30))</f>
        <v/>
      </c>
      <c r="O20" s="15" t="str">
        <f>IF(H20="  ","",INDEX(HVAC_T1T2ReferenceTable,MATCH(H20,References!$AY$4:$AY$44,0),2))</f>
        <v/>
      </c>
      <c r="P20" s="13" t="str">
        <f t="shared" si="1"/>
        <v/>
      </c>
      <c r="Q20" s="13" t="str">
        <f t="shared" si="2"/>
        <v/>
      </c>
      <c r="R20" s="13" t="str">
        <f t="shared" si="3"/>
        <v/>
      </c>
      <c r="S20" s="13" t="str">
        <f>IF(LEFT(H20,4)="Room",References!$AU$4,"")</f>
        <v/>
      </c>
      <c r="T20" s="15" t="str">
        <f t="shared" si="4"/>
        <v/>
      </c>
      <c r="U20" s="13" t="str">
        <f t="shared" si="5"/>
        <v/>
      </c>
      <c r="V20" s="13" t="str">
        <f t="shared" si="6"/>
        <v/>
      </c>
      <c r="W20" s="13" t="str">
        <f t="shared" si="7"/>
        <v/>
      </c>
      <c r="X20" s="13" t="str">
        <f>IF(AND(N20="",R20&lt;&gt;0),"",IF(LEFT(H20,4)&lt;&gt;"Room","PASS",IF(LEFT(F20,4)&lt;&gt;"Room","FAIL",IF('HVAC Worksheet'!Y30&lt;=S20,"PASS","FAIL"))))</f>
        <v/>
      </c>
      <c r="Y20" s="511" t="str">
        <f t="shared" si="10"/>
        <v>FAIL</v>
      </c>
      <c r="Z20" s="15" t="str">
        <f t="shared" si="8"/>
        <v>Select …</v>
      </c>
      <c r="AA20" s="530" t="e">
        <f>IF(OR(Z20="",Z20="… please select …"),0,INDEX(References!$H$22:$H$43,MATCH(Z20,References!$G$22:$G$43,0)))</f>
        <v>#N/A</v>
      </c>
      <c r="AB20" s="61" t="e">
        <f>IF(OR(Z20="",Z20="… please select …"),0,INDEX(References!$I$22:$I$43,MATCH(Z20,References!$G$22:$G$43,0)))</f>
        <v>#N/A</v>
      </c>
      <c r="AF20" s="10">
        <v>14</v>
      </c>
      <c r="AG20" s="21" t="str">
        <f t="shared" si="9"/>
        <v xml:space="preserve">   </v>
      </c>
      <c r="AH20" s="21" t="str">
        <f>IF(OR('HVAC Worksheet'!$T30="",'HVAC Worksheet'!T30="None"),IF($H20="  ","","Baseline "&amp;INDEX(References!$W$4:$W$44,MATCH($H20,References!$T$4:$T$44,0))),"Existing "&amp;'HVAC Worksheet'!$T30)</f>
        <v/>
      </c>
      <c r="AI20" s="89" t="str">
        <f>IF(OR('HVAC Worksheet'!U30="",'HVAC Worksheet'!U30="None"),IF(I20="","","Baseline "&amp;INDEX(References!$X$4:$X$44,MATCH($H20,References!$T$4:$T$44,0))),"Existing "&amp;'HVAC Worksheet'!U30)</f>
        <v/>
      </c>
      <c r="AJ20" s="342" t="str">
        <f>_xlfn.IFNA(IF(OR('HVAC Worksheet'!X30=0,'HVAC Worksheet'!X30=""),IF(OR(LEFT(H20,3)="pac",LEFT(H20,4)="Room"),0,INDEX(References!$BL$5:$BL$44,MATCH(H20,References!$AY$5:$AY$44,0))),'HVAC Worksheet'!X30),"")</f>
        <v/>
      </c>
      <c r="AK20" s="343" t="str">
        <f>IF(H20="  ","",IF('HVAC Worksheet'!Y30="",IF(LEFT(H20,3)="Pac",(INDEX(References!$BM$4:$BM$44,MATCH(H20,References!$AY$4:$AY$44,0)))-(0.3*I20*12000/1000),INDEX(References!$BM$4:$BM$44,MATCH(H20,References!$AY$4:$AY$44,0))),'HVAC Worksheet'!Y30))</f>
        <v/>
      </c>
      <c r="AL20" s="765" t="str">
        <f>IF(H20="  ","",IF(OR($AI20="Existing Gas",$AI20="Existing Oil",$AI20="Existing Propane",$AI20="Baseline New Construction"),0,IF(AND('HVAC Worksheet'!AA30=0,'HVAC Worksheet'!Z30=0),IF(LEFT(H20,3)="pac",0,INDEX(References!$BN$4:$BN$44,MATCH(H20,References!$AY$4:$AY$44,0))),IF(AND('HVAC Worksheet'!AA30&gt;0,'HVAC Worksheet'!Z30=0),'HVAC Worksheet'!AA30*References!$B$49,'HVAC Worksheet'!Z30))))</f>
        <v/>
      </c>
      <c r="AM20" s="765" t="str">
        <f>IF($H20="  ","",IF(OR($AI20="Existing Gas",$AI20="Existing Oil",$AI20="Existing Propane",$AI20="Baseline New Construction"),0,IF(OR('HVAC Worksheet'!AA30="",'HVAC Worksheet'!AA30=0),IF(LEFT(H20,3)="Pac",(INDEX(References!$BN$4:$BN$44,MATCH(H20,References!$AY$4:$AY$44,0)))-INDEX(References!$BO$4:$BO$44,MATCH(H20,References!$AY$4:$AY$44,0))*I20*12000/1000,INDEX(References!$BO$4:$BO$44,MATCH(H20,References!$AY$4:$AY$44,0))),'HVAC Worksheet'!AA30)))</f>
        <v/>
      </c>
      <c r="AN20" s="781" t="str">
        <f>IF($H20="  ","",IF(OR($AI20="Existing Gas",$AI20="Existing Oil",$AI20="Existing Propane",$AI20="Baseline New Construction"),IF(OR('HVAC Worksheet'!AB30="",'HVAC Worksheet'!AB30=0),INDEX(References!$E$136:$E$140,MATCH(AI20,References!$D$136:$D$140,0)),'HVAC Worksheet'!AB30),0))</f>
        <v/>
      </c>
      <c r="AO20" s="766">
        <f>IF(OR(LEFT(AI20,8)="Existing",RIGHT(AI20,16)="New Construction"),References!$B$33,1)</f>
        <v>1</v>
      </c>
      <c r="AP20" s="525">
        <f>References!$B$37</f>
        <v>15</v>
      </c>
      <c r="AQ20" s="212" t="e">
        <f>IF(AND(AK20&gt;0,L20&gt;0),ROUND((I20*12)*((1/AK20)-(1/L20)),References!$B$40),0)</f>
        <v>#VALUE!</v>
      </c>
      <c r="AR20" s="308" t="e">
        <f>IF(AND(AK20&gt;0,L20&gt;0),ROUND((J20*I20*12)*((1/AK20)-(1/L20)),References!$B$40),0)</f>
        <v>#VALUE!</v>
      </c>
      <c r="AS20" s="308" t="e">
        <f>IF(AND(AJ20=0,AK20=0),0,IF(AJ20&gt;0,ROUND((I20*12)*((1/AJ20)-(1/K20))*AA20,References!$B$43),ROUND((I20*12)*((1/AK20)-(1/L20))*AA20,References!$B$43)))</f>
        <v>#VALUE!</v>
      </c>
      <c r="AT20" s="308" t="e">
        <f>AS20*References!$B$29</f>
        <v>#VALUE!</v>
      </c>
      <c r="AU20" s="308" t="e">
        <f t="shared" si="11"/>
        <v>#VALUE!</v>
      </c>
      <c r="AV20" s="212">
        <f>IF(AND(N20&gt;0,AM20&gt;0,N20&lt;&gt;""),ROUND((I20*12)*((1/(AM20))-(1/(N20))),References!$B$40),IF(AND(M20&gt;0,AL20&gt;0,M20&lt;&gt;""),ROUND((I20*12)*(1/(AL20/3.412))-(1/(M20/3.412)),References!$B$40),IF(AND(N20&gt;0,N20&lt;&gt;""),ROUND((I20*12)*-(1/(N20/3.412)),References!$B$40),IF(AND(M20&gt;0,M20&lt;&gt;""),ROUND((I20*12)*-(1/(M20/3.412)),References!$B$40),0))))</f>
        <v>0</v>
      </c>
      <c r="AW20" s="308" t="e">
        <f t="shared" si="12"/>
        <v>#VALUE!</v>
      </c>
      <c r="AX20" s="308" t="e">
        <f>ROUND(AU20*AN20*AP20,References!$B$43)</f>
        <v>#VALUE!</v>
      </c>
      <c r="AY20" s="308" t="e">
        <f>IF(AND(AL20&gt;0,M20&gt;0),ROUND((I20*12)*((1/AL20)-(1/M20))*AB20*AO20,References!$B$43),IF(AND(AM20&gt;0,N20&gt;0),ROUND((I20*12)*((1/AM20)-(1/N20))*AB20*AO20/3.413,References!$B$43),0))</f>
        <v>#VALUE!</v>
      </c>
      <c r="AZ20" s="767">
        <f>IF(AND(OR($AI20="Existing Gas",$AI20="Existing Oil",$AI20="Existing Propane",$AI20="Baseline New Construction"),RIGHT(C20,10)="Heat Pumps"),IF(AND(M20&gt;0,M20&lt;&gt;""),ROUND(((I20*12)*((1/M20))*AB20*AO20)-AX20,References!$B$43),IF(AND(N20&gt;0,N20&lt;&gt;""),ROUND(((I20*12)*((1/N20))*AB20*AO20/3.412)-AX20,References!$B$43),0)),0)</f>
        <v>0</v>
      </c>
      <c r="BA20" s="308" t="e">
        <f>(AY20*References!$B$29)-(AZ20*References!$B$29)</f>
        <v>#VALUE!</v>
      </c>
      <c r="BB20" s="308" t="e">
        <f t="shared" si="13"/>
        <v>#VALUE!</v>
      </c>
      <c r="BC20" s="308" t="e">
        <f t="shared" si="14"/>
        <v>#VALUE!</v>
      </c>
      <c r="BD20" s="343" t="e">
        <f t="shared" si="15"/>
        <v>#VALUE!</v>
      </c>
      <c r="BE20" s="343" t="e">
        <f t="shared" si="16"/>
        <v>#VALUE!</v>
      </c>
      <c r="BF20" s="343" t="e">
        <f t="shared" si="17"/>
        <v>#VALUE!</v>
      </c>
      <c r="BG20" s="343" t="e">
        <f t="shared" si="18"/>
        <v>#VALUE!</v>
      </c>
      <c r="BH20" s="343" t="e">
        <f t="shared" si="19"/>
        <v>#VALUE!</v>
      </c>
      <c r="BI20" s="16" t="e">
        <f t="shared" si="20"/>
        <v>#VALUE!</v>
      </c>
      <c r="BJ20" s="343" t="e">
        <f t="shared" si="21"/>
        <v>#VALUE!</v>
      </c>
      <c r="BK20" s="343" t="e">
        <f t="shared" si="22"/>
        <v>#VALUE!</v>
      </c>
      <c r="BL20" s="63">
        <f t="shared" si="23"/>
        <v>0</v>
      </c>
      <c r="BM20" s="526">
        <f t="shared" si="24"/>
        <v>0</v>
      </c>
      <c r="BN20" s="10">
        <v>14</v>
      </c>
      <c r="BO20" s="561" t="str">
        <f t="shared" si="25"/>
        <v xml:space="preserve">  </v>
      </c>
      <c r="BP20" s="62" t="str">
        <f t="shared" si="26"/>
        <v/>
      </c>
      <c r="BQ20" s="89" t="str">
        <f t="shared" si="27"/>
        <v xml:space="preserve">   </v>
      </c>
      <c r="BR20" s="89" t="str">
        <f>IF(Y20="FAIL","",INDEX(References!$AH$4:$AH$90,MATCH(Calculations!BQ20,References!$AG$4:$AG$90,0)))</f>
        <v/>
      </c>
      <c r="BS20" s="88" t="e">
        <f>BD20*References!$B$21+IF(BE20&lt;0,0,BE20*References!$B$25)</f>
        <v>#VALUE!</v>
      </c>
      <c r="BT20" s="768" t="e">
        <f>IF(BE20&gt;0,0,BE20*References!$B$25)+AU20*INDEX(References!$F$136:$F$142,MATCH(AI20,References!$D$136:$D$142,0))</f>
        <v>#VALUE!</v>
      </c>
      <c r="BU20" s="88">
        <f>IF(BR20="",0,ROUND(INDEX(References!$E$118:$E$132,MATCH('HVAC Worksheet'!B30,References!$D$118:$D$132,0))*AQ20*J20,References!$B$40))</f>
        <v>0</v>
      </c>
    </row>
    <row r="21" spans="2:73" x14ac:dyDescent="0.3">
      <c r="B21" s="11">
        <v>15</v>
      </c>
      <c r="C21" s="15" t="str">
        <f>IF('HVAC Worksheet'!B31="","",'HVAC Worksheet'!B31)</f>
        <v/>
      </c>
      <c r="D21" s="13" t="str">
        <f>IF('HVAC Worksheet'!C31="","",'HVAC Worksheet'!C31)</f>
        <v/>
      </c>
      <c r="E21" s="13" t="str">
        <f>IF('HVAC Worksheet'!E31="","",'HVAC Worksheet'!E31)</f>
        <v/>
      </c>
      <c r="F21" s="13" t="str">
        <f>IF('HVAC Worksheet'!T31="","",'HVAC Worksheet'!T31)</f>
        <v/>
      </c>
      <c r="G21" s="590" t="str">
        <f>IF('HVAC Worksheet'!V31="","",'HVAC Worksheet'!V31)</f>
        <v/>
      </c>
      <c r="H21" s="511" t="str">
        <f t="shared" si="0"/>
        <v xml:space="preserve">  </v>
      </c>
      <c r="I21" s="15" t="str">
        <f>IF('HVAC Worksheet'!H31="","",'HVAC Worksheet'!H31)</f>
        <v/>
      </c>
      <c r="J21" s="14" t="str">
        <f>IF('HVAC Worksheet'!I31="","",'HVAC Worksheet'!I31)</f>
        <v/>
      </c>
      <c r="K21" s="15" t="str">
        <f>IF(LEFT('HVAC Worksheet'!B31,4)="Room",Calculations!L21,IF('HVAC Worksheet'!J31="","",'HVAC Worksheet'!J31))</f>
        <v/>
      </c>
      <c r="L21" s="13" t="str">
        <f>IF('HVAC Worksheet'!K31="","",'HVAC Worksheet'!K31)</f>
        <v/>
      </c>
      <c r="M21" s="13" t="str">
        <f>IF($H21="  ","",IF('HVAC Worksheet'!L31="",0,'HVAC Worksheet'!L31))</f>
        <v/>
      </c>
      <c r="N21" s="13" t="str">
        <f>IF($H21="  ","",IF('HVAC Worksheet'!M31="",0,'HVAC Worksheet'!M31))</f>
        <v/>
      </c>
      <c r="O21" s="15" t="str">
        <f>IF(H21="  ","",INDEX(HVAC_T1T2ReferenceTable,MATCH(H21,References!$AY$4:$AY$44,0),2))</f>
        <v/>
      </c>
      <c r="P21" s="13" t="str">
        <f t="shared" si="1"/>
        <v/>
      </c>
      <c r="Q21" s="13" t="str">
        <f t="shared" si="2"/>
        <v/>
      </c>
      <c r="R21" s="13" t="str">
        <f t="shared" si="3"/>
        <v/>
      </c>
      <c r="S21" s="13" t="str">
        <f>IF(LEFT(H21,4)="Room",References!$AU$4,"")</f>
        <v/>
      </c>
      <c r="T21" s="15" t="str">
        <f t="shared" si="4"/>
        <v/>
      </c>
      <c r="U21" s="13" t="str">
        <f t="shared" si="5"/>
        <v/>
      </c>
      <c r="V21" s="13" t="str">
        <f t="shared" si="6"/>
        <v/>
      </c>
      <c r="W21" s="13" t="str">
        <f t="shared" si="7"/>
        <v/>
      </c>
      <c r="X21" s="13" t="str">
        <f>IF(AND(N21="",R21&lt;&gt;0),"",IF(LEFT(H21,4)&lt;&gt;"Room","PASS",IF(LEFT(F21,4)&lt;&gt;"Room","FAIL",IF('HVAC Worksheet'!Y31&lt;=S21,"PASS","FAIL"))))</f>
        <v/>
      </c>
      <c r="Y21" s="511" t="str">
        <f t="shared" si="10"/>
        <v>FAIL</v>
      </c>
      <c r="Z21" s="15" t="str">
        <f t="shared" si="8"/>
        <v>Select …</v>
      </c>
      <c r="AA21" s="530" t="e">
        <f>IF(OR(Z21="",Z21="… please select …"),0,INDEX(References!$H$22:$H$43,MATCH(Z21,References!$G$22:$G$43,0)))</f>
        <v>#N/A</v>
      </c>
      <c r="AB21" s="61" t="e">
        <f>IF(OR(Z21="",Z21="… please select …"),0,INDEX(References!$I$22:$I$43,MATCH(Z21,References!$G$22:$G$43,0)))</f>
        <v>#N/A</v>
      </c>
      <c r="AF21" s="10">
        <v>15</v>
      </c>
      <c r="AG21" s="21" t="str">
        <f t="shared" si="9"/>
        <v xml:space="preserve">   </v>
      </c>
      <c r="AH21" s="21" t="str">
        <f>IF(OR('HVAC Worksheet'!$T31="",'HVAC Worksheet'!T31="None"),IF($H21="  ","","Baseline "&amp;INDEX(References!$W$4:$W$44,MATCH($H21,References!$T$4:$T$44,0))),"Existing "&amp;'HVAC Worksheet'!$T31)</f>
        <v/>
      </c>
      <c r="AI21" s="89" t="str">
        <f>IF(OR('HVAC Worksheet'!U31="",'HVAC Worksheet'!U31="None"),IF(I21="","","Baseline "&amp;INDEX(References!$X$4:$X$44,MATCH($H21,References!$T$4:$T$44,0))),"Existing "&amp;'HVAC Worksheet'!U31)</f>
        <v/>
      </c>
      <c r="AJ21" s="342" t="str">
        <f>_xlfn.IFNA(IF(OR('HVAC Worksheet'!X31=0,'HVAC Worksheet'!X31=""),IF(OR(LEFT(H21,3)="pac",LEFT(H21,4)="Room"),0,INDEX(References!$BL$5:$BL$44,MATCH(H21,References!$AY$5:$AY$44,0))),'HVAC Worksheet'!X31),"")</f>
        <v/>
      </c>
      <c r="AK21" s="343" t="str">
        <f>IF(H21="  ","",IF('HVAC Worksheet'!Y31="",IF(LEFT(H21,3)="Pac",(INDEX(References!$BM$4:$BM$44,MATCH(H21,References!$AY$4:$AY$44,0)))-(0.3*I21*12000/1000),INDEX(References!$BM$4:$BM$44,MATCH(H21,References!$AY$4:$AY$44,0))),'HVAC Worksheet'!Y31))</f>
        <v/>
      </c>
      <c r="AL21" s="765" t="str">
        <f>IF(H21="  ","",IF(OR($AI21="Existing Gas",$AI21="Existing Oil",$AI21="Existing Propane",$AI21="Baseline New Construction"),0,IF(AND('HVAC Worksheet'!AA31=0,'HVAC Worksheet'!Z31=0),IF(LEFT(H21,3)="pac",0,INDEX(References!$BN$4:$BN$44,MATCH(H21,References!$AY$4:$AY$44,0))),IF(AND('HVAC Worksheet'!AA31&gt;0,'HVAC Worksheet'!Z31=0),'HVAC Worksheet'!AA31*References!$B$49,'HVAC Worksheet'!Z31))))</f>
        <v/>
      </c>
      <c r="AM21" s="765" t="str">
        <f>IF($H21="  ","",IF(OR($AI21="Existing Gas",$AI21="Existing Oil",$AI21="Existing Propane",$AI21="Baseline New Construction"),0,IF(OR('HVAC Worksheet'!AA31="",'HVAC Worksheet'!AA31=0),IF(LEFT(H21,3)="Pac",(INDEX(References!$BN$4:$BN$44,MATCH(H21,References!$AY$4:$AY$44,0)))-INDEX(References!$BO$4:$BO$44,MATCH(H21,References!$AY$4:$AY$44,0))*I21*12000/1000,INDEX(References!$BO$4:$BO$44,MATCH(H21,References!$AY$4:$AY$44,0))),'HVAC Worksheet'!AA31)))</f>
        <v/>
      </c>
      <c r="AN21" s="781" t="str">
        <f>IF($H21="  ","",IF(OR($AI21="Existing Gas",$AI21="Existing Oil",$AI21="Existing Propane",$AI21="Baseline New Construction"),IF(OR('HVAC Worksheet'!AB31="",'HVAC Worksheet'!AB31=0),INDEX(References!$E$136:$E$140,MATCH(AI21,References!$D$136:$D$140,0)),'HVAC Worksheet'!AB31),0))</f>
        <v/>
      </c>
      <c r="AO21" s="766">
        <f>IF(OR(LEFT(AI21,8)="Existing",RIGHT(AI21,16)="New Construction"),References!$B$33,1)</f>
        <v>1</v>
      </c>
      <c r="AP21" s="525">
        <f>References!$B$37</f>
        <v>15</v>
      </c>
      <c r="AQ21" s="212" t="e">
        <f>IF(AND(AK21&gt;0,L21&gt;0),ROUND((I21*12)*((1/AK21)-(1/L21)),References!$B$40),0)</f>
        <v>#VALUE!</v>
      </c>
      <c r="AR21" s="308" t="e">
        <f>IF(AND(AK21&gt;0,L21&gt;0),ROUND((J21*I21*12)*((1/AK21)-(1/L21)),References!$B$40),0)</f>
        <v>#VALUE!</v>
      </c>
      <c r="AS21" s="308" t="e">
        <f>IF(AND(AJ21=0,AK21=0),0,IF(AJ21&gt;0,ROUND((I21*12)*((1/AJ21)-(1/K21))*AA21,References!$B$43),ROUND((I21*12)*((1/AK21)-(1/L21))*AA21,References!$B$43)))</f>
        <v>#VALUE!</v>
      </c>
      <c r="AT21" s="308" t="e">
        <f>AS21*References!$B$29</f>
        <v>#VALUE!</v>
      </c>
      <c r="AU21" s="308" t="e">
        <f t="shared" si="11"/>
        <v>#VALUE!</v>
      </c>
      <c r="AV21" s="212">
        <f>IF(AND(N21&gt;0,AM21&gt;0,N21&lt;&gt;""),ROUND((I21*12)*((1/(AM21))-(1/(N21))),References!$B$40),IF(AND(M21&gt;0,AL21&gt;0,M21&lt;&gt;""),ROUND((I21*12)*(1/(AL21/3.412))-(1/(M21/3.412)),References!$B$40),IF(AND(N21&gt;0,N21&lt;&gt;""),ROUND((I21*12)*-(1/(N21/3.412)),References!$B$40),IF(AND(M21&gt;0,M21&lt;&gt;""),ROUND((I21*12)*-(1/(M21/3.412)),References!$B$40),0))))</f>
        <v>0</v>
      </c>
      <c r="AW21" s="308" t="e">
        <f t="shared" si="12"/>
        <v>#VALUE!</v>
      </c>
      <c r="AX21" s="308" t="e">
        <f>ROUND(AU21*AN21*AP21,References!$B$43)</f>
        <v>#VALUE!</v>
      </c>
      <c r="AY21" s="308" t="e">
        <f>IF(AND(AL21&gt;0,M21&gt;0),ROUND((I21*12)*((1/AL21)-(1/M21))*AB21*AO21,References!$B$43),IF(AND(AM21&gt;0,N21&gt;0),ROUND((I21*12)*((1/AM21)-(1/N21))*AB21*AO21/3.413,References!$B$43),0))</f>
        <v>#VALUE!</v>
      </c>
      <c r="AZ21" s="767">
        <f>IF(AND(OR($AI21="Existing Gas",$AI21="Existing Oil",$AI21="Existing Propane",$AI21="Baseline New Construction"),RIGHT(C21,10)="Heat Pumps"),IF(AND(M21&gt;0,M21&lt;&gt;""),ROUND(((I21*12)*((1/M21))*AB21*AO21)-AX21,References!$B$43),IF(AND(N21&gt;0,N21&lt;&gt;""),ROUND(((I21*12)*((1/N21))*AB21*AO21/3.412)-AX21,References!$B$43),0)),0)</f>
        <v>0</v>
      </c>
      <c r="BA21" s="308" t="e">
        <f>(AY21*References!$B$29)-(AZ21*References!$B$29)</f>
        <v>#VALUE!</v>
      </c>
      <c r="BB21" s="308" t="e">
        <f t="shared" si="13"/>
        <v>#VALUE!</v>
      </c>
      <c r="BC21" s="308" t="e">
        <f t="shared" si="14"/>
        <v>#VALUE!</v>
      </c>
      <c r="BD21" s="343" t="e">
        <f t="shared" si="15"/>
        <v>#VALUE!</v>
      </c>
      <c r="BE21" s="343" t="e">
        <f t="shared" si="16"/>
        <v>#VALUE!</v>
      </c>
      <c r="BF21" s="343" t="e">
        <f t="shared" si="17"/>
        <v>#VALUE!</v>
      </c>
      <c r="BG21" s="343" t="e">
        <f t="shared" si="18"/>
        <v>#VALUE!</v>
      </c>
      <c r="BH21" s="343" t="e">
        <f t="shared" si="19"/>
        <v>#VALUE!</v>
      </c>
      <c r="BI21" s="16" t="e">
        <f t="shared" si="20"/>
        <v>#VALUE!</v>
      </c>
      <c r="BJ21" s="343" t="e">
        <f t="shared" si="21"/>
        <v>#VALUE!</v>
      </c>
      <c r="BK21" s="343" t="e">
        <f t="shared" si="22"/>
        <v>#VALUE!</v>
      </c>
      <c r="BL21" s="63">
        <f t="shared" si="23"/>
        <v>0</v>
      </c>
      <c r="BM21" s="526">
        <f t="shared" si="24"/>
        <v>0</v>
      </c>
      <c r="BN21" s="10">
        <v>15</v>
      </c>
      <c r="BO21" s="561" t="str">
        <f t="shared" si="25"/>
        <v xml:space="preserve">  </v>
      </c>
      <c r="BP21" s="62" t="str">
        <f t="shared" si="26"/>
        <v/>
      </c>
      <c r="BQ21" s="89" t="str">
        <f t="shared" si="27"/>
        <v xml:space="preserve">   </v>
      </c>
      <c r="BR21" s="89" t="str">
        <f>IF(Y21="FAIL","",INDEX(References!$AH$4:$AH$90,MATCH(Calculations!BQ21,References!$AG$4:$AG$90,0)))</f>
        <v/>
      </c>
      <c r="BS21" s="88" t="e">
        <f>BD21*References!$B$21+IF(BE21&lt;0,0,BE21*References!$B$25)</f>
        <v>#VALUE!</v>
      </c>
      <c r="BT21" s="768" t="e">
        <f>IF(BE21&gt;0,0,BE21*References!$B$25)+AU21*INDEX(References!$F$136:$F$142,MATCH(AI21,References!$D$136:$D$142,0))</f>
        <v>#VALUE!</v>
      </c>
      <c r="BU21" s="88">
        <f>IF(BR21="",0,ROUND(INDEX(References!$E$118:$E$132,MATCH('HVAC Worksheet'!B31,References!$D$118:$D$132,0))*AQ21*J21,References!$B$40))</f>
        <v>0</v>
      </c>
    </row>
    <row r="22" spans="2:73" x14ac:dyDescent="0.3">
      <c r="B22" s="11">
        <v>16</v>
      </c>
      <c r="C22" s="15" t="str">
        <f>IF('HVAC Worksheet'!B32="","",'HVAC Worksheet'!B32)</f>
        <v/>
      </c>
      <c r="D22" s="13" t="str">
        <f>IF('HVAC Worksheet'!C32="","",'HVAC Worksheet'!C32)</f>
        <v/>
      </c>
      <c r="E22" s="13" t="str">
        <f>IF('HVAC Worksheet'!E32="","",'HVAC Worksheet'!E32)</f>
        <v/>
      </c>
      <c r="F22" s="13" t="str">
        <f>IF('HVAC Worksheet'!T32="","",'HVAC Worksheet'!T32)</f>
        <v/>
      </c>
      <c r="G22" s="590" t="str">
        <f>IF('HVAC Worksheet'!V32="","",'HVAC Worksheet'!V32)</f>
        <v/>
      </c>
      <c r="H22" s="511" t="str">
        <f t="shared" si="0"/>
        <v xml:space="preserve">  </v>
      </c>
      <c r="I22" s="15" t="str">
        <f>IF('HVAC Worksheet'!H32="","",'HVAC Worksheet'!H32)</f>
        <v/>
      </c>
      <c r="J22" s="14" t="str">
        <f>IF('HVAC Worksheet'!I32="","",'HVAC Worksheet'!I32)</f>
        <v/>
      </c>
      <c r="K22" s="15" t="str">
        <f>IF(LEFT('HVAC Worksheet'!B32,4)="Room",Calculations!L22,IF('HVAC Worksheet'!J32="","",'HVAC Worksheet'!J32))</f>
        <v/>
      </c>
      <c r="L22" s="13" t="str">
        <f>IF('HVAC Worksheet'!K32="","",'HVAC Worksheet'!K32)</f>
        <v/>
      </c>
      <c r="M22" s="13" t="str">
        <f>IF($H22="  ","",IF('HVAC Worksheet'!L32="",0,'HVAC Worksheet'!L32))</f>
        <v/>
      </c>
      <c r="N22" s="13" t="str">
        <f>IF($H22="  ","",IF('HVAC Worksheet'!M32="",0,'HVAC Worksheet'!M32))</f>
        <v/>
      </c>
      <c r="O22" s="15" t="str">
        <f>IF(H22="  ","",INDEX(HVAC_T1T2ReferenceTable,MATCH(H22,References!$AY$4:$AY$44,0),2))</f>
        <v/>
      </c>
      <c r="P22" s="13" t="str">
        <f t="shared" si="1"/>
        <v/>
      </c>
      <c r="Q22" s="13" t="str">
        <f t="shared" si="2"/>
        <v/>
      </c>
      <c r="R22" s="13" t="str">
        <f t="shared" si="3"/>
        <v/>
      </c>
      <c r="S22" s="13" t="str">
        <f>IF(LEFT(H22,4)="Room",References!$AU$4,"")</f>
        <v/>
      </c>
      <c r="T22" s="15" t="str">
        <f t="shared" si="4"/>
        <v/>
      </c>
      <c r="U22" s="13" t="str">
        <f t="shared" si="5"/>
        <v/>
      </c>
      <c r="V22" s="13" t="str">
        <f t="shared" si="6"/>
        <v/>
      </c>
      <c r="W22" s="13" t="str">
        <f t="shared" si="7"/>
        <v/>
      </c>
      <c r="X22" s="13" t="str">
        <f>IF(AND(N22="",R22&lt;&gt;0),"",IF(LEFT(H22,4)&lt;&gt;"Room","PASS",IF(LEFT(F22,4)&lt;&gt;"Room","FAIL",IF('HVAC Worksheet'!Y32&lt;=S22,"PASS","FAIL"))))</f>
        <v/>
      </c>
      <c r="Y22" s="511" t="str">
        <f t="shared" si="10"/>
        <v>FAIL</v>
      </c>
      <c r="Z22" s="15" t="str">
        <f t="shared" si="8"/>
        <v>Select …</v>
      </c>
      <c r="AA22" s="530" t="e">
        <f>IF(OR(Z22="",Z22="… please select …"),0,INDEX(References!$H$22:$H$43,MATCH(Z22,References!$G$22:$G$43,0)))</f>
        <v>#N/A</v>
      </c>
      <c r="AB22" s="61" t="e">
        <f>IF(OR(Z22="",Z22="… please select …"),0,INDEX(References!$I$22:$I$43,MATCH(Z22,References!$G$22:$G$43,0)))</f>
        <v>#N/A</v>
      </c>
      <c r="AF22" s="10">
        <v>16</v>
      </c>
      <c r="AG22" s="21" t="str">
        <f t="shared" si="9"/>
        <v xml:space="preserve">   </v>
      </c>
      <c r="AH22" s="21" t="str">
        <f>IF(OR('HVAC Worksheet'!$T32="",'HVAC Worksheet'!T32="None"),IF($H22="  ","","Baseline "&amp;INDEX(References!$W$4:$W$44,MATCH($H22,References!$T$4:$T$44,0))),"Existing "&amp;'HVAC Worksheet'!$T32)</f>
        <v/>
      </c>
      <c r="AI22" s="89" t="str">
        <f>IF(OR('HVAC Worksheet'!U32="",'HVAC Worksheet'!U32="None"),IF(I22="","","Baseline "&amp;INDEX(References!$X$4:$X$44,MATCH($H22,References!$T$4:$T$44,0))),"Existing "&amp;'HVAC Worksheet'!U32)</f>
        <v/>
      </c>
      <c r="AJ22" s="342" t="str">
        <f>_xlfn.IFNA(IF(OR('HVAC Worksheet'!X32=0,'HVAC Worksheet'!X32=""),IF(OR(LEFT(H22,3)="pac",LEFT(H22,4)="Room"),0,INDEX(References!$BL$5:$BL$44,MATCH(H22,References!$AY$5:$AY$44,0))),'HVAC Worksheet'!X32),"")</f>
        <v/>
      </c>
      <c r="AK22" s="343" t="str">
        <f>IF(H22="  ","",IF('HVAC Worksheet'!Y32="",IF(LEFT(H22,3)="Pac",(INDEX(References!$BM$4:$BM$44,MATCH(H22,References!$AY$4:$AY$44,0)))-(0.3*I22*12000/1000),INDEX(References!$BM$4:$BM$44,MATCH(H22,References!$AY$4:$AY$44,0))),'HVAC Worksheet'!Y32))</f>
        <v/>
      </c>
      <c r="AL22" s="765" t="str">
        <f>IF(H22="  ","",IF(OR($AI22="Existing Gas",$AI22="Existing Oil",$AI22="Existing Propane",$AI22="Baseline New Construction"),0,IF(AND('HVAC Worksheet'!AA32=0,'HVAC Worksheet'!Z32=0),IF(LEFT(H22,3)="pac",0,INDEX(References!$BN$4:$BN$44,MATCH(H22,References!$AY$4:$AY$44,0))),IF(AND('HVAC Worksheet'!AA32&gt;0,'HVAC Worksheet'!Z32=0),'HVAC Worksheet'!AA32*References!$B$49,'HVAC Worksheet'!Z32))))</f>
        <v/>
      </c>
      <c r="AM22" s="765" t="str">
        <f>IF($H22="  ","",IF(OR($AI22="Existing Gas",$AI22="Existing Oil",$AI22="Existing Propane",$AI22="Baseline New Construction"),0,IF(OR('HVAC Worksheet'!AA32="",'HVAC Worksheet'!AA32=0),IF(LEFT(H22,3)="Pac",(INDEX(References!$BN$4:$BN$44,MATCH(H22,References!$AY$4:$AY$44,0)))-INDEX(References!$BO$4:$BO$44,MATCH(H22,References!$AY$4:$AY$44,0))*I22*12000/1000,INDEX(References!$BO$4:$BO$44,MATCH(H22,References!$AY$4:$AY$44,0))),'HVAC Worksheet'!AA32)))</f>
        <v/>
      </c>
      <c r="AN22" s="781" t="str">
        <f>IF($H22="  ","",IF(OR($AI22="Existing Gas",$AI22="Existing Oil",$AI22="Existing Propane",$AI22="Baseline New Construction"),IF(OR('HVAC Worksheet'!AB32="",'HVAC Worksheet'!AB32=0),INDEX(References!$E$136:$E$140,MATCH(AI22,References!$D$136:$D$140,0)),'HVAC Worksheet'!AB32),0))</f>
        <v/>
      </c>
      <c r="AO22" s="766">
        <f>IF(OR(LEFT(AI22,8)="Existing",RIGHT(AI22,16)="New Construction"),References!$B$33,1)</f>
        <v>1</v>
      </c>
      <c r="AP22" s="525">
        <f>References!$B$37</f>
        <v>15</v>
      </c>
      <c r="AQ22" s="212" t="e">
        <f>IF(AND(AK22&gt;0,L22&gt;0),ROUND((I22*12)*((1/AK22)-(1/L22)),References!$B$40),0)</f>
        <v>#VALUE!</v>
      </c>
      <c r="AR22" s="308" t="e">
        <f>IF(AND(AK22&gt;0,L22&gt;0),ROUND((J22*I22*12)*((1/AK22)-(1/L22)),References!$B$40),0)</f>
        <v>#VALUE!</v>
      </c>
      <c r="AS22" s="308" t="e">
        <f>IF(AND(AJ22=0,AK22=0),0,IF(AJ22&gt;0,ROUND((I22*12)*((1/AJ22)-(1/K22))*AA22,References!$B$43),ROUND((I22*12)*((1/AK22)-(1/L22))*AA22,References!$B$43)))</f>
        <v>#VALUE!</v>
      </c>
      <c r="AT22" s="308" t="e">
        <f>AS22*References!$B$29</f>
        <v>#VALUE!</v>
      </c>
      <c r="AU22" s="308" t="e">
        <f t="shared" si="11"/>
        <v>#VALUE!</v>
      </c>
      <c r="AV22" s="212">
        <f>IF(AND(N22&gt;0,AM22&gt;0,N22&lt;&gt;""),ROUND((I22*12)*((1/(AM22))-(1/(N22))),References!$B$40),IF(AND(M22&gt;0,AL22&gt;0,M22&lt;&gt;""),ROUND((I22*12)*(1/(AL22/3.412))-(1/(M22/3.412)),References!$B$40),IF(AND(N22&gt;0,N22&lt;&gt;""),ROUND((I22*12)*-(1/(N22/3.412)),References!$B$40),IF(AND(M22&gt;0,M22&lt;&gt;""),ROUND((I22*12)*-(1/(M22/3.412)),References!$B$40),0))))</f>
        <v>0</v>
      </c>
      <c r="AW22" s="308" t="e">
        <f t="shared" si="12"/>
        <v>#VALUE!</v>
      </c>
      <c r="AX22" s="308" t="e">
        <f>ROUND(AU22*AN22*AP22,References!$B$43)</f>
        <v>#VALUE!</v>
      </c>
      <c r="AY22" s="308" t="e">
        <f>IF(AND(AL22&gt;0,M22&gt;0),ROUND((I22*12)*((1/AL22)-(1/M22))*AB22*AO22,References!$B$43),IF(AND(AM22&gt;0,N22&gt;0),ROUND((I22*12)*((1/AM22)-(1/N22))*AB22*AO22/3.413,References!$B$43),0))</f>
        <v>#VALUE!</v>
      </c>
      <c r="AZ22" s="767">
        <f>IF(AND(OR($AI22="Existing Gas",$AI22="Existing Oil",$AI22="Existing Propane",$AI22="Baseline New Construction"),RIGHT(C22,10)="Heat Pumps"),IF(AND(M22&gt;0,M22&lt;&gt;""),ROUND(((I22*12)*((1/M22))*AB22*AO22)-AX22,References!$B$43),IF(AND(N22&gt;0,N22&lt;&gt;""),ROUND(((I22*12)*((1/N22))*AB22*AO22/3.412)-AX22,References!$B$43),0)),0)</f>
        <v>0</v>
      </c>
      <c r="BA22" s="308" t="e">
        <f>(AY22*References!$B$29)-(AZ22*References!$B$29)</f>
        <v>#VALUE!</v>
      </c>
      <c r="BB22" s="308" t="e">
        <f t="shared" si="13"/>
        <v>#VALUE!</v>
      </c>
      <c r="BC22" s="308" t="e">
        <f t="shared" si="14"/>
        <v>#VALUE!</v>
      </c>
      <c r="BD22" s="343" t="e">
        <f t="shared" si="15"/>
        <v>#VALUE!</v>
      </c>
      <c r="BE22" s="343" t="e">
        <f t="shared" si="16"/>
        <v>#VALUE!</v>
      </c>
      <c r="BF22" s="343" t="e">
        <f t="shared" si="17"/>
        <v>#VALUE!</v>
      </c>
      <c r="BG22" s="343" t="e">
        <f t="shared" si="18"/>
        <v>#VALUE!</v>
      </c>
      <c r="BH22" s="343" t="e">
        <f t="shared" si="19"/>
        <v>#VALUE!</v>
      </c>
      <c r="BI22" s="16" t="e">
        <f t="shared" si="20"/>
        <v>#VALUE!</v>
      </c>
      <c r="BJ22" s="343" t="e">
        <f t="shared" si="21"/>
        <v>#VALUE!</v>
      </c>
      <c r="BK22" s="343" t="e">
        <f t="shared" si="22"/>
        <v>#VALUE!</v>
      </c>
      <c r="BL22" s="63">
        <f t="shared" si="23"/>
        <v>0</v>
      </c>
      <c r="BM22" s="526">
        <f t="shared" si="24"/>
        <v>0</v>
      </c>
      <c r="BN22" s="10">
        <v>16</v>
      </c>
      <c r="BO22" s="561" t="str">
        <f t="shared" si="25"/>
        <v xml:space="preserve">  </v>
      </c>
      <c r="BP22" s="62" t="str">
        <f t="shared" si="26"/>
        <v/>
      </c>
      <c r="BQ22" s="89" t="str">
        <f t="shared" si="27"/>
        <v xml:space="preserve">   </v>
      </c>
      <c r="BR22" s="89" t="str">
        <f>IF(Y22="FAIL","",INDEX(References!$AH$4:$AH$90,MATCH(Calculations!BQ22,References!$AG$4:$AG$90,0)))</f>
        <v/>
      </c>
      <c r="BS22" s="88" t="e">
        <f>BD22*References!$B$21+IF(BE22&lt;0,0,BE22*References!$B$25)</f>
        <v>#VALUE!</v>
      </c>
      <c r="BT22" s="768" t="e">
        <f>IF(BE22&gt;0,0,BE22*References!$B$25)+AU22*INDEX(References!$F$136:$F$142,MATCH(AI22,References!$D$136:$D$142,0))</f>
        <v>#VALUE!</v>
      </c>
      <c r="BU22" s="88">
        <f>IF(BR22="",0,ROUND(INDEX(References!$E$118:$E$132,MATCH('HVAC Worksheet'!B32,References!$D$118:$D$132,0))*AQ22*J22,References!$B$40))</f>
        <v>0</v>
      </c>
    </row>
    <row r="23" spans="2:73" x14ac:dyDescent="0.3">
      <c r="B23" s="11">
        <v>17</v>
      </c>
      <c r="C23" s="15" t="str">
        <f>IF('HVAC Worksheet'!B33="","",'HVAC Worksheet'!B33)</f>
        <v/>
      </c>
      <c r="D23" s="13" t="str">
        <f>IF('HVAC Worksheet'!C33="","",'HVAC Worksheet'!C33)</f>
        <v/>
      </c>
      <c r="E23" s="13" t="str">
        <f>IF('HVAC Worksheet'!E33="","",'HVAC Worksheet'!E33)</f>
        <v/>
      </c>
      <c r="F23" s="13" t="str">
        <f>IF('HVAC Worksheet'!T33="","",'HVAC Worksheet'!T33)</f>
        <v/>
      </c>
      <c r="G23" s="590" t="str">
        <f>IF('HVAC Worksheet'!V33="","",'HVAC Worksheet'!V33)</f>
        <v/>
      </c>
      <c r="H23" s="511" t="str">
        <f t="shared" si="0"/>
        <v xml:space="preserve">  </v>
      </c>
      <c r="I23" s="15" t="str">
        <f>IF('HVAC Worksheet'!H33="","",'HVAC Worksheet'!H33)</f>
        <v/>
      </c>
      <c r="J23" s="14" t="str">
        <f>IF('HVAC Worksheet'!I33="","",'HVAC Worksheet'!I33)</f>
        <v/>
      </c>
      <c r="K23" s="15" t="str">
        <f>IF(LEFT('HVAC Worksheet'!B33,4)="Room",Calculations!L23,IF('HVAC Worksheet'!J33="","",'HVAC Worksheet'!J33))</f>
        <v/>
      </c>
      <c r="L23" s="13" t="str">
        <f>IF('HVAC Worksheet'!K33="","",'HVAC Worksheet'!K33)</f>
        <v/>
      </c>
      <c r="M23" s="13" t="str">
        <f>IF($H23="  ","",IF('HVAC Worksheet'!L33="",0,'HVAC Worksheet'!L33))</f>
        <v/>
      </c>
      <c r="N23" s="13" t="str">
        <f>IF($H23="  ","",IF('HVAC Worksheet'!M33="",0,'HVAC Worksheet'!M33))</f>
        <v/>
      </c>
      <c r="O23" s="15" t="str">
        <f>IF(H23="  ","",INDEX(HVAC_T1T2ReferenceTable,MATCH(H23,References!$AY$4:$AY$44,0),2))</f>
        <v/>
      </c>
      <c r="P23" s="13" t="str">
        <f t="shared" si="1"/>
        <v/>
      </c>
      <c r="Q23" s="13" t="str">
        <f t="shared" si="2"/>
        <v/>
      </c>
      <c r="R23" s="13" t="str">
        <f t="shared" si="3"/>
        <v/>
      </c>
      <c r="S23" s="13" t="str">
        <f>IF(LEFT(H23,4)="Room",References!$AU$4,"")</f>
        <v/>
      </c>
      <c r="T23" s="15" t="str">
        <f t="shared" si="4"/>
        <v/>
      </c>
      <c r="U23" s="13" t="str">
        <f t="shared" si="5"/>
        <v/>
      </c>
      <c r="V23" s="13" t="str">
        <f t="shared" si="6"/>
        <v/>
      </c>
      <c r="W23" s="13" t="str">
        <f t="shared" si="7"/>
        <v/>
      </c>
      <c r="X23" s="13" t="str">
        <f>IF(AND(N23="",R23&lt;&gt;0),"",IF(LEFT(H23,4)&lt;&gt;"Room","PASS",IF(LEFT(F23,4)&lt;&gt;"Room","FAIL",IF('HVAC Worksheet'!Y33&lt;=S23,"PASS","FAIL"))))</f>
        <v/>
      </c>
      <c r="Y23" s="511" t="str">
        <f t="shared" si="10"/>
        <v>FAIL</v>
      </c>
      <c r="Z23" s="15" t="str">
        <f t="shared" si="8"/>
        <v>Select …</v>
      </c>
      <c r="AA23" s="530" t="e">
        <f>IF(OR(Z23="",Z23="… please select …"),0,INDEX(References!$H$22:$H$43,MATCH(Z23,References!$G$22:$G$43,0)))</f>
        <v>#N/A</v>
      </c>
      <c r="AB23" s="61" t="e">
        <f>IF(OR(Z23="",Z23="… please select …"),0,INDEX(References!$I$22:$I$43,MATCH(Z23,References!$G$22:$G$43,0)))</f>
        <v>#N/A</v>
      </c>
      <c r="AF23" s="10">
        <v>17</v>
      </c>
      <c r="AG23" s="21" t="str">
        <f t="shared" si="9"/>
        <v xml:space="preserve">   </v>
      </c>
      <c r="AH23" s="21" t="str">
        <f>IF(OR('HVAC Worksheet'!$T33="",'HVAC Worksheet'!T33="None"),IF($H23="  ","","Baseline "&amp;INDEX(References!$W$4:$W$44,MATCH($H23,References!$T$4:$T$44,0))),"Existing "&amp;'HVAC Worksheet'!$T33)</f>
        <v/>
      </c>
      <c r="AI23" s="89" t="str">
        <f>IF(OR('HVAC Worksheet'!U33="",'HVAC Worksheet'!U33="None"),IF(I23="","","Baseline "&amp;INDEX(References!$X$4:$X$44,MATCH($H23,References!$T$4:$T$44,0))),"Existing "&amp;'HVAC Worksheet'!U33)</f>
        <v/>
      </c>
      <c r="AJ23" s="342" t="str">
        <f>_xlfn.IFNA(IF(OR('HVAC Worksheet'!X33=0,'HVAC Worksheet'!X33=""),IF(OR(LEFT(H23,3)="pac",LEFT(H23,4)="Room"),0,INDEX(References!$BL$5:$BL$44,MATCH(H23,References!$AY$5:$AY$44,0))),'HVAC Worksheet'!X33),"")</f>
        <v/>
      </c>
      <c r="AK23" s="343" t="str">
        <f>IF(H23="  ","",IF('HVAC Worksheet'!Y33="",IF(LEFT(H23,3)="Pac",(INDEX(References!$BM$4:$BM$44,MATCH(H23,References!$AY$4:$AY$44,0)))-(0.3*I23*12000/1000),INDEX(References!$BM$4:$BM$44,MATCH(H23,References!$AY$4:$AY$44,0))),'HVAC Worksheet'!Y33))</f>
        <v/>
      </c>
      <c r="AL23" s="765" t="str">
        <f>IF(H23="  ","",IF(OR($AI23="Existing Gas",$AI23="Existing Oil",$AI23="Existing Propane",$AI23="Baseline New Construction"),0,IF(AND('HVAC Worksheet'!AA33=0,'HVAC Worksheet'!Z33=0),IF(LEFT(H23,3)="pac",0,INDEX(References!$BN$4:$BN$44,MATCH(H23,References!$AY$4:$AY$44,0))),IF(AND('HVAC Worksheet'!AA33&gt;0,'HVAC Worksheet'!Z33=0),'HVAC Worksheet'!AA33*References!$B$49,'HVAC Worksheet'!Z33))))</f>
        <v/>
      </c>
      <c r="AM23" s="765" t="str">
        <f>IF($H23="  ","",IF(OR($AI23="Existing Gas",$AI23="Existing Oil",$AI23="Existing Propane",$AI23="Baseline New Construction"),0,IF(OR('HVAC Worksheet'!AA33="",'HVAC Worksheet'!AA33=0),IF(LEFT(H23,3)="Pac",(INDEX(References!$BN$4:$BN$44,MATCH(H23,References!$AY$4:$AY$44,0)))-INDEX(References!$BO$4:$BO$44,MATCH(H23,References!$AY$4:$AY$44,0))*I23*12000/1000,INDEX(References!$BO$4:$BO$44,MATCH(H23,References!$AY$4:$AY$44,0))),'HVAC Worksheet'!AA33)))</f>
        <v/>
      </c>
      <c r="AN23" s="781" t="str">
        <f>IF($H23="  ","",IF(OR($AI23="Existing Gas",$AI23="Existing Oil",$AI23="Existing Propane",$AI23="Baseline New Construction"),IF(OR('HVAC Worksheet'!AB33="",'HVAC Worksheet'!AB33=0),INDEX(References!$E$136:$E$140,MATCH(AI23,References!$D$136:$D$140,0)),'HVAC Worksheet'!AB33),0))</f>
        <v/>
      </c>
      <c r="AO23" s="766">
        <f>IF(OR(LEFT(AI23,8)="Existing",RIGHT(AI23,16)="New Construction"),References!$B$33,1)</f>
        <v>1</v>
      </c>
      <c r="AP23" s="525">
        <f>References!$B$37</f>
        <v>15</v>
      </c>
      <c r="AQ23" s="212" t="e">
        <f>IF(AND(AK23&gt;0,L23&gt;0),ROUND((I23*12)*((1/AK23)-(1/L23)),References!$B$40),0)</f>
        <v>#VALUE!</v>
      </c>
      <c r="AR23" s="308" t="e">
        <f>IF(AND(AK23&gt;0,L23&gt;0),ROUND((J23*I23*12)*((1/AK23)-(1/L23)),References!$B$40),0)</f>
        <v>#VALUE!</v>
      </c>
      <c r="AS23" s="308" t="e">
        <f>IF(AND(AJ23=0,AK23=0),0,IF(AJ23&gt;0,ROUND((I23*12)*((1/AJ23)-(1/K23))*AA23,References!$B$43),ROUND((I23*12)*((1/AK23)-(1/L23))*AA23,References!$B$43)))</f>
        <v>#VALUE!</v>
      </c>
      <c r="AT23" s="308" t="e">
        <f>AS23*References!$B$29</f>
        <v>#VALUE!</v>
      </c>
      <c r="AU23" s="308" t="e">
        <f t="shared" si="11"/>
        <v>#VALUE!</v>
      </c>
      <c r="AV23" s="212">
        <f>IF(AND(N23&gt;0,AM23&gt;0,N23&lt;&gt;""),ROUND((I23*12)*((1/(AM23))-(1/(N23))),References!$B$40),IF(AND(M23&gt;0,AL23&gt;0,M23&lt;&gt;""),ROUND((I23*12)*(1/(AL23/3.412))-(1/(M23/3.412)),References!$B$40),IF(AND(N23&gt;0,N23&lt;&gt;""),ROUND((I23*12)*-(1/(N23/3.412)),References!$B$40),IF(AND(M23&gt;0,M23&lt;&gt;""),ROUND((I23*12)*-(1/(M23/3.412)),References!$B$40),0))))</f>
        <v>0</v>
      </c>
      <c r="AW23" s="308" t="e">
        <f t="shared" si="12"/>
        <v>#VALUE!</v>
      </c>
      <c r="AX23" s="308" t="e">
        <f>ROUND(AU23*AN23*AP23,References!$B$43)</f>
        <v>#VALUE!</v>
      </c>
      <c r="AY23" s="308" t="e">
        <f>IF(AND(AL23&gt;0,M23&gt;0),ROUND((I23*12)*((1/AL23)-(1/M23))*AB23*AO23,References!$B$43),IF(AND(AM23&gt;0,N23&gt;0),ROUND((I23*12)*((1/AM23)-(1/N23))*AB23*AO23/3.413,References!$B$43),0))</f>
        <v>#VALUE!</v>
      </c>
      <c r="AZ23" s="767">
        <f>IF(AND(OR($AI23="Existing Gas",$AI23="Existing Oil",$AI23="Existing Propane",$AI23="Baseline New Construction"),RIGHT(C23,10)="Heat Pumps"),IF(AND(M23&gt;0,M23&lt;&gt;""),ROUND(((I23*12)*((1/M23))*AB23*AO23)-AX23,References!$B$43),IF(AND(N23&gt;0,N23&lt;&gt;""),ROUND(((I23*12)*((1/N23))*AB23*AO23/3.412)-AX23,References!$B$43),0)),0)</f>
        <v>0</v>
      </c>
      <c r="BA23" s="308" t="e">
        <f>(AY23*References!$B$29)-(AZ23*References!$B$29)</f>
        <v>#VALUE!</v>
      </c>
      <c r="BB23" s="308" t="e">
        <f t="shared" si="13"/>
        <v>#VALUE!</v>
      </c>
      <c r="BC23" s="308" t="e">
        <f t="shared" si="14"/>
        <v>#VALUE!</v>
      </c>
      <c r="BD23" s="343" t="e">
        <f t="shared" si="15"/>
        <v>#VALUE!</v>
      </c>
      <c r="BE23" s="343" t="e">
        <f t="shared" si="16"/>
        <v>#VALUE!</v>
      </c>
      <c r="BF23" s="343" t="e">
        <f t="shared" si="17"/>
        <v>#VALUE!</v>
      </c>
      <c r="BG23" s="343" t="e">
        <f t="shared" si="18"/>
        <v>#VALUE!</v>
      </c>
      <c r="BH23" s="343" t="e">
        <f t="shared" si="19"/>
        <v>#VALUE!</v>
      </c>
      <c r="BI23" s="16" t="e">
        <f t="shared" si="20"/>
        <v>#VALUE!</v>
      </c>
      <c r="BJ23" s="343" t="e">
        <f t="shared" si="21"/>
        <v>#VALUE!</v>
      </c>
      <c r="BK23" s="343" t="e">
        <f t="shared" si="22"/>
        <v>#VALUE!</v>
      </c>
      <c r="BL23" s="63">
        <f t="shared" si="23"/>
        <v>0</v>
      </c>
      <c r="BM23" s="526">
        <f t="shared" si="24"/>
        <v>0</v>
      </c>
      <c r="BN23" s="10">
        <v>17</v>
      </c>
      <c r="BO23" s="561" t="str">
        <f t="shared" si="25"/>
        <v xml:space="preserve">  </v>
      </c>
      <c r="BP23" s="62" t="str">
        <f t="shared" si="26"/>
        <v/>
      </c>
      <c r="BQ23" s="89" t="str">
        <f t="shared" si="27"/>
        <v xml:space="preserve">   </v>
      </c>
      <c r="BR23" s="89" t="str">
        <f>IF(Y23="FAIL","",INDEX(References!$AH$4:$AH$90,MATCH(Calculations!BQ23,References!$AG$4:$AG$90,0)))</f>
        <v/>
      </c>
      <c r="BS23" s="88" t="e">
        <f>BD23*References!$B$21+IF(BE23&lt;0,0,BE23*References!$B$25)</f>
        <v>#VALUE!</v>
      </c>
      <c r="BT23" s="768" t="e">
        <f>IF(BE23&gt;0,0,BE23*References!$B$25)+AU23*INDEX(References!$F$136:$F$142,MATCH(AI23,References!$D$136:$D$142,0))</f>
        <v>#VALUE!</v>
      </c>
      <c r="BU23" s="88">
        <f>IF(BR23="",0,ROUND(INDEX(References!$E$118:$E$132,MATCH('HVAC Worksheet'!B33,References!$D$118:$D$132,0))*AQ23*J23,References!$B$40))</f>
        <v>0</v>
      </c>
    </row>
    <row r="24" spans="2:73" x14ac:dyDescent="0.3">
      <c r="B24" s="11">
        <v>18</v>
      </c>
      <c r="C24" s="15" t="str">
        <f>IF('HVAC Worksheet'!B34="","",'HVAC Worksheet'!B34)</f>
        <v/>
      </c>
      <c r="D24" s="13" t="str">
        <f>IF('HVAC Worksheet'!C34="","",'HVAC Worksheet'!C34)</f>
        <v/>
      </c>
      <c r="E24" s="13" t="str">
        <f>IF('HVAC Worksheet'!E34="","",'HVAC Worksheet'!E34)</f>
        <v/>
      </c>
      <c r="F24" s="13" t="str">
        <f>IF('HVAC Worksheet'!T34="","",'HVAC Worksheet'!T34)</f>
        <v/>
      </c>
      <c r="G24" s="590" t="str">
        <f>IF('HVAC Worksheet'!V34="","",'HVAC Worksheet'!V34)</f>
        <v/>
      </c>
      <c r="H24" s="511" t="str">
        <f t="shared" si="0"/>
        <v xml:space="preserve">  </v>
      </c>
      <c r="I24" s="15" t="str">
        <f>IF('HVAC Worksheet'!H34="","",'HVAC Worksheet'!H34)</f>
        <v/>
      </c>
      <c r="J24" s="14" t="str">
        <f>IF('HVAC Worksheet'!I34="","",'HVAC Worksheet'!I34)</f>
        <v/>
      </c>
      <c r="K24" s="15" t="str">
        <f>IF(LEFT('HVAC Worksheet'!B34,4)="Room",Calculations!L24,IF('HVAC Worksheet'!J34="","",'HVAC Worksheet'!J34))</f>
        <v/>
      </c>
      <c r="L24" s="13" t="str">
        <f>IF('HVAC Worksheet'!K34="","",'HVAC Worksheet'!K34)</f>
        <v/>
      </c>
      <c r="M24" s="13" t="str">
        <f>IF($H24="  ","",IF('HVAC Worksheet'!L34="",0,'HVAC Worksheet'!L34))</f>
        <v/>
      </c>
      <c r="N24" s="13" t="str">
        <f>IF($H24="  ","",IF('HVAC Worksheet'!M34="",0,'HVAC Worksheet'!M34))</f>
        <v/>
      </c>
      <c r="O24" s="15" t="str">
        <f>IF(H24="  ","",INDEX(HVAC_T1T2ReferenceTable,MATCH(H24,References!$AY$4:$AY$44,0),2))</f>
        <v/>
      </c>
      <c r="P24" s="13" t="str">
        <f t="shared" si="1"/>
        <v/>
      </c>
      <c r="Q24" s="13" t="str">
        <f t="shared" si="2"/>
        <v/>
      </c>
      <c r="R24" s="13" t="str">
        <f t="shared" si="3"/>
        <v/>
      </c>
      <c r="S24" s="13" t="str">
        <f>IF(LEFT(H24,4)="Room",References!$AU$4,"")</f>
        <v/>
      </c>
      <c r="T24" s="15" t="str">
        <f t="shared" si="4"/>
        <v/>
      </c>
      <c r="U24" s="13" t="str">
        <f t="shared" si="5"/>
        <v/>
      </c>
      <c r="V24" s="13" t="str">
        <f t="shared" si="6"/>
        <v/>
      </c>
      <c r="W24" s="13" t="str">
        <f t="shared" si="7"/>
        <v/>
      </c>
      <c r="X24" s="13" t="str">
        <f>IF(AND(N24="",R24&lt;&gt;0),"",IF(LEFT(H24,4)&lt;&gt;"Room","PASS",IF(LEFT(F24,4)&lt;&gt;"Room","FAIL",IF('HVAC Worksheet'!Y34&lt;=S24,"PASS","FAIL"))))</f>
        <v/>
      </c>
      <c r="Y24" s="511" t="str">
        <f t="shared" si="10"/>
        <v>FAIL</v>
      </c>
      <c r="Z24" s="15" t="str">
        <f t="shared" si="8"/>
        <v>Select …</v>
      </c>
      <c r="AA24" s="530" t="e">
        <f>IF(OR(Z24="",Z24="… please select …"),0,INDEX(References!$H$22:$H$43,MATCH(Z24,References!$G$22:$G$43,0)))</f>
        <v>#N/A</v>
      </c>
      <c r="AB24" s="61" t="e">
        <f>IF(OR(Z24="",Z24="… please select …"),0,INDEX(References!$I$22:$I$43,MATCH(Z24,References!$G$22:$G$43,0)))</f>
        <v>#N/A</v>
      </c>
      <c r="AF24" s="10">
        <v>18</v>
      </c>
      <c r="AG24" s="21" t="str">
        <f t="shared" si="9"/>
        <v xml:space="preserve">   </v>
      </c>
      <c r="AH24" s="21" t="str">
        <f>IF(OR('HVAC Worksheet'!$T34="",'HVAC Worksheet'!T34="None"),IF($H24="  ","","Baseline "&amp;INDEX(References!$W$4:$W$44,MATCH($H24,References!$T$4:$T$44,0))),"Existing "&amp;'HVAC Worksheet'!$T34)</f>
        <v/>
      </c>
      <c r="AI24" s="89" t="str">
        <f>IF(OR('HVAC Worksheet'!U34="",'HVAC Worksheet'!U34="None"),IF(I24="","","Baseline "&amp;INDEX(References!$X$4:$X$44,MATCH($H24,References!$T$4:$T$44,0))),"Existing "&amp;'HVAC Worksheet'!U34)</f>
        <v/>
      </c>
      <c r="AJ24" s="342" t="str">
        <f>_xlfn.IFNA(IF(OR('HVAC Worksheet'!X34=0,'HVAC Worksheet'!X34=""),IF(OR(LEFT(H24,3)="pac",LEFT(H24,4)="Room"),0,INDEX(References!$BL$5:$BL$44,MATCH(H24,References!$AY$5:$AY$44,0))),'HVAC Worksheet'!X34),"")</f>
        <v/>
      </c>
      <c r="AK24" s="343" t="str">
        <f>IF(H24="  ","",IF('HVAC Worksheet'!Y34="",IF(LEFT(H24,3)="Pac",(INDEX(References!$BM$4:$BM$44,MATCH(H24,References!$AY$4:$AY$44,0)))-(0.3*I24*12000/1000),INDEX(References!$BM$4:$BM$44,MATCH(H24,References!$AY$4:$AY$44,0))),'HVAC Worksheet'!Y34))</f>
        <v/>
      </c>
      <c r="AL24" s="765" t="str">
        <f>IF(H24="  ","",IF(OR($AI24="Existing Gas",$AI24="Existing Oil",$AI24="Existing Propane",$AI24="Baseline New Construction"),0,IF(AND('HVAC Worksheet'!AA34=0,'HVAC Worksheet'!Z34=0),IF(LEFT(H24,3)="pac",0,INDEX(References!$BN$4:$BN$44,MATCH(H24,References!$AY$4:$AY$44,0))),IF(AND('HVAC Worksheet'!AA34&gt;0,'HVAC Worksheet'!Z34=0),'HVAC Worksheet'!AA34*References!$B$49,'HVAC Worksheet'!Z34))))</f>
        <v/>
      </c>
      <c r="AM24" s="765" t="str">
        <f>IF($H24="  ","",IF(OR($AI24="Existing Gas",$AI24="Existing Oil",$AI24="Existing Propane",$AI24="Baseline New Construction"),0,IF(OR('HVAC Worksheet'!AA34="",'HVAC Worksheet'!AA34=0),IF(LEFT(H24,3)="Pac",(INDEX(References!$BN$4:$BN$44,MATCH(H24,References!$AY$4:$AY$44,0)))-INDEX(References!$BO$4:$BO$44,MATCH(H24,References!$AY$4:$AY$44,0))*I24*12000/1000,INDEX(References!$BO$4:$BO$44,MATCH(H24,References!$AY$4:$AY$44,0))),'HVAC Worksheet'!AA34)))</f>
        <v/>
      </c>
      <c r="AN24" s="781" t="str">
        <f>IF($H24="  ","",IF(OR($AI24="Existing Gas",$AI24="Existing Oil",$AI24="Existing Propane",$AI24="Baseline New Construction"),IF(OR('HVAC Worksheet'!AB34="",'HVAC Worksheet'!AB34=0),INDEX(References!$E$136:$E$140,MATCH(AI24,References!$D$136:$D$140,0)),'HVAC Worksheet'!AB34),0))</f>
        <v/>
      </c>
      <c r="AO24" s="766">
        <f>IF(OR(LEFT(AI24,8)="Existing",RIGHT(AI24,16)="New Construction"),References!$B$33,1)</f>
        <v>1</v>
      </c>
      <c r="AP24" s="525">
        <f>References!$B$37</f>
        <v>15</v>
      </c>
      <c r="AQ24" s="212" t="e">
        <f>IF(AND(AK24&gt;0,L24&gt;0),ROUND((I24*12)*((1/AK24)-(1/L24)),References!$B$40),0)</f>
        <v>#VALUE!</v>
      </c>
      <c r="AR24" s="308" t="e">
        <f>IF(AND(AK24&gt;0,L24&gt;0),ROUND((J24*I24*12)*((1/AK24)-(1/L24)),References!$B$40),0)</f>
        <v>#VALUE!</v>
      </c>
      <c r="AS24" s="308" t="e">
        <f>IF(AND(AJ24=0,AK24=0),0,IF(AJ24&gt;0,ROUND((I24*12)*((1/AJ24)-(1/K24))*AA24,References!$B$43),ROUND((I24*12)*((1/AK24)-(1/L24))*AA24,References!$B$43)))</f>
        <v>#VALUE!</v>
      </c>
      <c r="AT24" s="308" t="e">
        <f>AS24*References!$B$29</f>
        <v>#VALUE!</v>
      </c>
      <c r="AU24" s="308" t="e">
        <f t="shared" si="11"/>
        <v>#VALUE!</v>
      </c>
      <c r="AV24" s="212">
        <f>IF(AND(N24&gt;0,AM24&gt;0,N24&lt;&gt;""),ROUND((I24*12)*((1/(AM24))-(1/(N24))),References!$B$40),IF(AND(M24&gt;0,AL24&gt;0,M24&lt;&gt;""),ROUND((I24*12)*(1/(AL24/3.412))-(1/(M24/3.412)),References!$B$40),IF(AND(N24&gt;0,N24&lt;&gt;""),ROUND((I24*12)*-(1/(N24/3.412)),References!$B$40),IF(AND(M24&gt;0,M24&lt;&gt;""),ROUND((I24*12)*-(1/(M24/3.412)),References!$B$40),0))))</f>
        <v>0</v>
      </c>
      <c r="AW24" s="308" t="e">
        <f t="shared" si="12"/>
        <v>#VALUE!</v>
      </c>
      <c r="AX24" s="308" t="e">
        <f>ROUND(AU24*AN24*AP24,References!$B$43)</f>
        <v>#VALUE!</v>
      </c>
      <c r="AY24" s="308" t="e">
        <f>IF(AND(AL24&gt;0,M24&gt;0),ROUND((I24*12)*((1/AL24)-(1/M24))*AB24*AO24,References!$B$43),IF(AND(AM24&gt;0,N24&gt;0),ROUND((I24*12)*((1/AM24)-(1/N24))*AB24*AO24/3.413,References!$B$43),0))</f>
        <v>#VALUE!</v>
      </c>
      <c r="AZ24" s="767">
        <f>IF(AND(OR($AI24="Existing Gas",$AI24="Existing Oil",$AI24="Existing Propane",$AI24="Baseline New Construction"),RIGHT(C24,10)="Heat Pumps"),IF(AND(M24&gt;0,M24&lt;&gt;""),ROUND(((I24*12)*((1/M24))*AB24*AO24)-AX24,References!$B$43),IF(AND(N24&gt;0,N24&lt;&gt;""),ROUND(((I24*12)*((1/N24))*AB24*AO24/3.412)-AX24,References!$B$43),0)),0)</f>
        <v>0</v>
      </c>
      <c r="BA24" s="308" t="e">
        <f>(AY24*References!$B$29)-(AZ24*References!$B$29)</f>
        <v>#VALUE!</v>
      </c>
      <c r="BB24" s="308" t="e">
        <f t="shared" si="13"/>
        <v>#VALUE!</v>
      </c>
      <c r="BC24" s="308" t="e">
        <f t="shared" si="14"/>
        <v>#VALUE!</v>
      </c>
      <c r="BD24" s="343" t="e">
        <f t="shared" si="15"/>
        <v>#VALUE!</v>
      </c>
      <c r="BE24" s="343" t="e">
        <f t="shared" si="16"/>
        <v>#VALUE!</v>
      </c>
      <c r="BF24" s="343" t="e">
        <f t="shared" si="17"/>
        <v>#VALUE!</v>
      </c>
      <c r="BG24" s="343" t="e">
        <f t="shared" si="18"/>
        <v>#VALUE!</v>
      </c>
      <c r="BH24" s="343" t="e">
        <f t="shared" si="19"/>
        <v>#VALUE!</v>
      </c>
      <c r="BI24" s="16" t="e">
        <f t="shared" si="20"/>
        <v>#VALUE!</v>
      </c>
      <c r="BJ24" s="343" t="e">
        <f t="shared" si="21"/>
        <v>#VALUE!</v>
      </c>
      <c r="BK24" s="343" t="e">
        <f t="shared" si="22"/>
        <v>#VALUE!</v>
      </c>
      <c r="BL24" s="63">
        <f t="shared" si="23"/>
        <v>0</v>
      </c>
      <c r="BM24" s="526">
        <f t="shared" si="24"/>
        <v>0</v>
      </c>
      <c r="BN24" s="10">
        <v>18</v>
      </c>
      <c r="BO24" s="561" t="str">
        <f t="shared" si="25"/>
        <v xml:space="preserve">  </v>
      </c>
      <c r="BP24" s="62" t="str">
        <f t="shared" si="26"/>
        <v/>
      </c>
      <c r="BQ24" s="89" t="str">
        <f t="shared" si="27"/>
        <v xml:space="preserve">   </v>
      </c>
      <c r="BR24" s="89" t="str">
        <f>IF(Y24="FAIL","",INDEX(References!$AH$4:$AH$90,MATCH(Calculations!BQ24,References!$AG$4:$AG$90,0)))</f>
        <v/>
      </c>
      <c r="BS24" s="88" t="e">
        <f>BD24*References!$B$21+IF(BE24&lt;0,0,BE24*References!$B$25)</f>
        <v>#VALUE!</v>
      </c>
      <c r="BT24" s="768" t="e">
        <f>IF(BE24&gt;0,0,BE24*References!$B$25)+AU24*INDEX(References!$F$136:$F$142,MATCH(AI24,References!$D$136:$D$142,0))</f>
        <v>#VALUE!</v>
      </c>
      <c r="BU24" s="88">
        <f>IF(BR24="",0,ROUND(INDEX(References!$E$118:$E$132,MATCH('HVAC Worksheet'!B34,References!$D$118:$D$132,0))*AQ24*J24,References!$B$40))</f>
        <v>0</v>
      </c>
    </row>
    <row r="25" spans="2:73" x14ac:dyDescent="0.3">
      <c r="B25" s="11">
        <v>19</v>
      </c>
      <c r="C25" s="15" t="str">
        <f>IF('HVAC Worksheet'!B35="","",'HVAC Worksheet'!B35)</f>
        <v/>
      </c>
      <c r="D25" s="13" t="str">
        <f>IF('HVAC Worksheet'!C35="","",'HVAC Worksheet'!C35)</f>
        <v/>
      </c>
      <c r="E25" s="13" t="str">
        <f>IF('HVAC Worksheet'!E35="","",'HVAC Worksheet'!E35)</f>
        <v/>
      </c>
      <c r="F25" s="13" t="str">
        <f>IF('HVAC Worksheet'!T35="","",'HVAC Worksheet'!T35)</f>
        <v/>
      </c>
      <c r="G25" s="590" t="str">
        <f>IF('HVAC Worksheet'!V35="","",'HVAC Worksheet'!V35)</f>
        <v/>
      </c>
      <c r="H25" s="511" t="str">
        <f t="shared" si="0"/>
        <v xml:space="preserve">  </v>
      </c>
      <c r="I25" s="15" t="str">
        <f>IF('HVAC Worksheet'!H35="","",'HVAC Worksheet'!H35)</f>
        <v/>
      </c>
      <c r="J25" s="14" t="str">
        <f>IF('HVAC Worksheet'!I35="","",'HVAC Worksheet'!I35)</f>
        <v/>
      </c>
      <c r="K25" s="15" t="str">
        <f>IF(LEFT('HVAC Worksheet'!B35,4)="Room",Calculations!L25,IF('HVAC Worksheet'!J35="","",'HVAC Worksheet'!J35))</f>
        <v/>
      </c>
      <c r="L25" s="13" t="str">
        <f>IF('HVAC Worksheet'!K35="","",'HVAC Worksheet'!K35)</f>
        <v/>
      </c>
      <c r="M25" s="13" t="str">
        <f>IF($H25="  ","",IF('HVAC Worksheet'!L35="",0,'HVAC Worksheet'!L35))</f>
        <v/>
      </c>
      <c r="N25" s="13" t="str">
        <f>IF($H25="  ","",IF('HVAC Worksheet'!M35="",0,'HVAC Worksheet'!M35))</f>
        <v/>
      </c>
      <c r="O25" s="15" t="str">
        <f>IF(H25="  ","",INDEX(HVAC_T1T2ReferenceTable,MATCH(H25,References!$AY$4:$AY$44,0),2))</f>
        <v/>
      </c>
      <c r="P25" s="13" t="str">
        <f t="shared" si="1"/>
        <v/>
      </c>
      <c r="Q25" s="13" t="str">
        <f t="shared" si="2"/>
        <v/>
      </c>
      <c r="R25" s="13" t="str">
        <f t="shared" si="3"/>
        <v/>
      </c>
      <c r="S25" s="13" t="str">
        <f>IF(LEFT(H25,4)="Room",References!$AU$4,"")</f>
        <v/>
      </c>
      <c r="T25" s="15" t="str">
        <f t="shared" si="4"/>
        <v/>
      </c>
      <c r="U25" s="13" t="str">
        <f t="shared" si="5"/>
        <v/>
      </c>
      <c r="V25" s="13" t="str">
        <f t="shared" si="6"/>
        <v/>
      </c>
      <c r="W25" s="13" t="str">
        <f t="shared" si="7"/>
        <v/>
      </c>
      <c r="X25" s="13" t="str">
        <f>IF(AND(N25="",R25&lt;&gt;0),"",IF(LEFT(H25,4)&lt;&gt;"Room","PASS",IF(LEFT(F25,4)&lt;&gt;"Room","FAIL",IF('HVAC Worksheet'!Y35&lt;=S25,"PASS","FAIL"))))</f>
        <v/>
      </c>
      <c r="Y25" s="511" t="str">
        <f t="shared" si="10"/>
        <v>FAIL</v>
      </c>
      <c r="Z25" s="15" t="str">
        <f t="shared" si="8"/>
        <v>Select …</v>
      </c>
      <c r="AA25" s="530" t="e">
        <f>IF(OR(Z25="",Z25="… please select …"),0,INDEX(References!$H$22:$H$43,MATCH(Z25,References!$G$22:$G$43,0)))</f>
        <v>#N/A</v>
      </c>
      <c r="AB25" s="61" t="e">
        <f>IF(OR(Z25="",Z25="… please select …"),0,INDEX(References!$I$22:$I$43,MATCH(Z25,References!$G$22:$G$43,0)))</f>
        <v>#N/A</v>
      </c>
      <c r="AF25" s="10">
        <v>19</v>
      </c>
      <c r="AG25" s="21" t="str">
        <f t="shared" si="9"/>
        <v xml:space="preserve">   </v>
      </c>
      <c r="AH25" s="21" t="str">
        <f>IF(OR('HVAC Worksheet'!$T35="",'HVAC Worksheet'!T35="None"),IF($H25="  ","","Baseline "&amp;INDEX(References!$W$4:$W$44,MATCH($H25,References!$T$4:$T$44,0))),"Existing "&amp;'HVAC Worksheet'!$T35)</f>
        <v/>
      </c>
      <c r="AI25" s="89" t="str">
        <f>IF(OR('HVAC Worksheet'!U35="",'HVAC Worksheet'!U35="None"),IF(I25="","","Baseline "&amp;INDEX(References!$X$4:$X$44,MATCH($H25,References!$T$4:$T$44,0))),"Existing "&amp;'HVAC Worksheet'!U35)</f>
        <v/>
      </c>
      <c r="AJ25" s="342" t="str">
        <f>_xlfn.IFNA(IF(OR('HVAC Worksheet'!X35=0,'HVAC Worksheet'!X35=""),IF(OR(LEFT(H25,3)="pac",LEFT(H25,4)="Room"),0,INDEX(References!$BL$5:$BL$44,MATCH(H25,References!$AY$5:$AY$44,0))),'HVAC Worksheet'!X35),"")</f>
        <v/>
      </c>
      <c r="AK25" s="343" t="str">
        <f>IF(H25="  ","",IF('HVAC Worksheet'!Y35="",IF(LEFT(H25,3)="Pac",(INDEX(References!$BM$4:$BM$44,MATCH(H25,References!$AY$4:$AY$44,0)))-(0.3*I25*12000/1000),INDEX(References!$BM$4:$BM$44,MATCH(H25,References!$AY$4:$AY$44,0))),'HVAC Worksheet'!Y35))</f>
        <v/>
      </c>
      <c r="AL25" s="765" t="str">
        <f>IF(H25="  ","",IF(OR($AI25="Existing Gas",$AI25="Existing Oil",$AI25="Existing Propane",$AI25="Baseline New Construction"),0,IF(AND('HVAC Worksheet'!AA35=0,'HVAC Worksheet'!Z35=0),IF(LEFT(H25,3)="pac",0,INDEX(References!$BN$4:$BN$44,MATCH(H25,References!$AY$4:$AY$44,0))),IF(AND('HVAC Worksheet'!AA35&gt;0,'HVAC Worksheet'!Z35=0),'HVAC Worksheet'!AA35*References!$B$49,'HVAC Worksheet'!Z35))))</f>
        <v/>
      </c>
      <c r="AM25" s="765" t="str">
        <f>IF($H25="  ","",IF(OR($AI25="Existing Gas",$AI25="Existing Oil",$AI25="Existing Propane",$AI25="Baseline New Construction"),0,IF(OR('HVAC Worksheet'!AA35="",'HVAC Worksheet'!AA35=0),IF(LEFT(H25,3)="Pac",(INDEX(References!$BN$4:$BN$44,MATCH(H25,References!$AY$4:$AY$44,0)))-INDEX(References!$BO$4:$BO$44,MATCH(H25,References!$AY$4:$AY$44,0))*I25*12000/1000,INDEX(References!$BO$4:$BO$44,MATCH(H25,References!$AY$4:$AY$44,0))),'HVAC Worksheet'!AA35)))</f>
        <v/>
      </c>
      <c r="AN25" s="781" t="str">
        <f>IF($H25="  ","",IF(OR($AI25="Existing Gas",$AI25="Existing Oil",$AI25="Existing Propane",$AI25="Baseline New Construction"),IF(OR('HVAC Worksheet'!AB35="",'HVAC Worksheet'!AB35=0),INDEX(References!$E$136:$E$140,MATCH(AI25,References!$D$136:$D$140,0)),'HVAC Worksheet'!AB35),0))</f>
        <v/>
      </c>
      <c r="AO25" s="766">
        <f>IF(OR(LEFT(AI25,8)="Existing",RIGHT(AI25,16)="New Construction"),References!$B$33,1)</f>
        <v>1</v>
      </c>
      <c r="AP25" s="525">
        <f>References!$B$37</f>
        <v>15</v>
      </c>
      <c r="AQ25" s="212" t="e">
        <f>IF(AND(AK25&gt;0,L25&gt;0),ROUND((I25*12)*((1/AK25)-(1/L25)),References!$B$40),0)</f>
        <v>#VALUE!</v>
      </c>
      <c r="AR25" s="308" t="e">
        <f>IF(AND(AK25&gt;0,L25&gt;0),ROUND((J25*I25*12)*((1/AK25)-(1/L25)),References!$B$40),0)</f>
        <v>#VALUE!</v>
      </c>
      <c r="AS25" s="308" t="e">
        <f>IF(AND(AJ25=0,AK25=0),0,IF(AJ25&gt;0,ROUND((I25*12)*((1/AJ25)-(1/K25))*AA25,References!$B$43),ROUND((I25*12)*((1/AK25)-(1/L25))*AA25,References!$B$43)))</f>
        <v>#VALUE!</v>
      </c>
      <c r="AT25" s="308" t="e">
        <f>AS25*References!$B$29</f>
        <v>#VALUE!</v>
      </c>
      <c r="AU25" s="308" t="e">
        <f t="shared" si="11"/>
        <v>#VALUE!</v>
      </c>
      <c r="AV25" s="212">
        <f>IF(AND(N25&gt;0,AM25&gt;0,N25&lt;&gt;""),ROUND((I25*12)*((1/(AM25))-(1/(N25))),References!$B$40),IF(AND(M25&gt;0,AL25&gt;0,M25&lt;&gt;""),ROUND((I25*12)*(1/(AL25/3.412))-(1/(M25/3.412)),References!$B$40),IF(AND(N25&gt;0,N25&lt;&gt;""),ROUND((I25*12)*-(1/(N25/3.412)),References!$B$40),IF(AND(M25&gt;0,M25&lt;&gt;""),ROUND((I25*12)*-(1/(M25/3.412)),References!$B$40),0))))</f>
        <v>0</v>
      </c>
      <c r="AW25" s="308" t="e">
        <f t="shared" si="12"/>
        <v>#VALUE!</v>
      </c>
      <c r="AX25" s="308" t="e">
        <f>ROUND(AU25*AN25*AP25,References!$B$43)</f>
        <v>#VALUE!</v>
      </c>
      <c r="AY25" s="308" t="e">
        <f>IF(AND(AL25&gt;0,M25&gt;0),ROUND((I25*12)*((1/AL25)-(1/M25))*AB25*AO25,References!$B$43),IF(AND(AM25&gt;0,N25&gt;0),ROUND((I25*12)*((1/AM25)-(1/N25))*AB25*AO25/3.413,References!$B$43),0))</f>
        <v>#VALUE!</v>
      </c>
      <c r="AZ25" s="767">
        <f>IF(AND(OR($AI25="Existing Gas",$AI25="Existing Oil",$AI25="Existing Propane",$AI25="Baseline New Construction"),RIGHT(C25,10)="Heat Pumps"),IF(AND(M25&gt;0,M25&lt;&gt;""),ROUND(((I25*12)*((1/M25))*AB25*AO25)-AX25,References!$B$43),IF(AND(N25&gt;0,N25&lt;&gt;""),ROUND(((I25*12)*((1/N25))*AB25*AO25/3.412)-AX25,References!$B$43),0)),0)</f>
        <v>0</v>
      </c>
      <c r="BA25" s="308" t="e">
        <f>(AY25*References!$B$29)-(AZ25*References!$B$29)</f>
        <v>#VALUE!</v>
      </c>
      <c r="BB25" s="308" t="e">
        <f t="shared" si="13"/>
        <v>#VALUE!</v>
      </c>
      <c r="BC25" s="308" t="e">
        <f t="shared" si="14"/>
        <v>#VALUE!</v>
      </c>
      <c r="BD25" s="343" t="e">
        <f t="shared" si="15"/>
        <v>#VALUE!</v>
      </c>
      <c r="BE25" s="343" t="e">
        <f t="shared" si="16"/>
        <v>#VALUE!</v>
      </c>
      <c r="BF25" s="343" t="e">
        <f t="shared" si="17"/>
        <v>#VALUE!</v>
      </c>
      <c r="BG25" s="343" t="e">
        <f t="shared" si="18"/>
        <v>#VALUE!</v>
      </c>
      <c r="BH25" s="343" t="e">
        <f t="shared" si="19"/>
        <v>#VALUE!</v>
      </c>
      <c r="BI25" s="16" t="e">
        <f t="shared" si="20"/>
        <v>#VALUE!</v>
      </c>
      <c r="BJ25" s="343" t="e">
        <f t="shared" si="21"/>
        <v>#VALUE!</v>
      </c>
      <c r="BK25" s="343" t="e">
        <f t="shared" si="22"/>
        <v>#VALUE!</v>
      </c>
      <c r="BL25" s="63">
        <f t="shared" si="23"/>
        <v>0</v>
      </c>
      <c r="BM25" s="526">
        <f t="shared" si="24"/>
        <v>0</v>
      </c>
      <c r="BN25" s="10">
        <v>19</v>
      </c>
      <c r="BO25" s="561" t="str">
        <f t="shared" si="25"/>
        <v xml:space="preserve">  </v>
      </c>
      <c r="BP25" s="62" t="str">
        <f t="shared" si="26"/>
        <v/>
      </c>
      <c r="BQ25" s="89" t="str">
        <f t="shared" si="27"/>
        <v xml:space="preserve">   </v>
      </c>
      <c r="BR25" s="89" t="str">
        <f>IF(Y25="FAIL","",INDEX(References!$AH$4:$AH$90,MATCH(Calculations!BQ25,References!$AG$4:$AG$90,0)))</f>
        <v/>
      </c>
      <c r="BS25" s="88" t="e">
        <f>BD25*References!$B$21+IF(BE25&lt;0,0,BE25*References!$B$25)</f>
        <v>#VALUE!</v>
      </c>
      <c r="BT25" s="768" t="e">
        <f>IF(BE25&gt;0,0,BE25*References!$B$25)+AU25*INDEX(References!$F$136:$F$142,MATCH(AI25,References!$D$136:$D$142,0))</f>
        <v>#VALUE!</v>
      </c>
      <c r="BU25" s="88">
        <f>IF(BR25="",0,ROUND(INDEX(References!$E$118:$E$132,MATCH('HVAC Worksheet'!B35,References!$D$118:$D$132,0))*AQ25*J25,References!$B$40))</f>
        <v>0</v>
      </c>
    </row>
    <row r="26" spans="2:73" x14ac:dyDescent="0.3">
      <c r="B26" s="11">
        <v>20</v>
      </c>
      <c r="C26" s="15" t="str">
        <f>IF('HVAC Worksheet'!B36="","",'HVAC Worksheet'!B36)</f>
        <v/>
      </c>
      <c r="D26" s="13" t="str">
        <f>IF('HVAC Worksheet'!C36="","",'HVAC Worksheet'!C36)</f>
        <v/>
      </c>
      <c r="E26" s="13" t="str">
        <f>IF('HVAC Worksheet'!E36="","",'HVAC Worksheet'!E36)</f>
        <v/>
      </c>
      <c r="F26" s="13" t="str">
        <f>IF('HVAC Worksheet'!T36="","",'HVAC Worksheet'!T36)</f>
        <v/>
      </c>
      <c r="G26" s="590" t="str">
        <f>IF('HVAC Worksheet'!V36="","",'HVAC Worksheet'!V36)</f>
        <v/>
      </c>
      <c r="H26" s="511" t="str">
        <f t="shared" si="0"/>
        <v xml:space="preserve">  </v>
      </c>
      <c r="I26" s="15" t="str">
        <f>IF('HVAC Worksheet'!H36="","",'HVAC Worksheet'!H36)</f>
        <v/>
      </c>
      <c r="J26" s="14" t="str">
        <f>IF('HVAC Worksheet'!I36="","",'HVAC Worksheet'!I36)</f>
        <v/>
      </c>
      <c r="K26" s="15" t="str">
        <f>IF(LEFT('HVAC Worksheet'!B36,4)="Room",Calculations!L26,IF('HVAC Worksheet'!J36="","",'HVAC Worksheet'!J36))</f>
        <v/>
      </c>
      <c r="L26" s="13" t="str">
        <f>IF('HVAC Worksheet'!K36="","",'HVAC Worksheet'!K36)</f>
        <v/>
      </c>
      <c r="M26" s="13" t="str">
        <f>IF($H26="  ","",IF('HVAC Worksheet'!L36="",0,'HVAC Worksheet'!L36))</f>
        <v/>
      </c>
      <c r="N26" s="13" t="str">
        <f>IF($H26="  ","",IF('HVAC Worksheet'!M36="",0,'HVAC Worksheet'!M36))</f>
        <v/>
      </c>
      <c r="O26" s="15" t="str">
        <f>IF(H26="  ","",INDEX(HVAC_T1T2ReferenceTable,MATCH(H26,References!$AY$4:$AY$44,0),2))</f>
        <v/>
      </c>
      <c r="P26" s="13" t="str">
        <f t="shared" si="1"/>
        <v/>
      </c>
      <c r="Q26" s="13" t="str">
        <f t="shared" si="2"/>
        <v/>
      </c>
      <c r="R26" s="13" t="str">
        <f t="shared" si="3"/>
        <v/>
      </c>
      <c r="S26" s="13" t="str">
        <f>IF(LEFT(H26,4)="Room",References!$AU$4,"")</f>
        <v/>
      </c>
      <c r="T26" s="15" t="str">
        <f t="shared" si="4"/>
        <v/>
      </c>
      <c r="U26" s="13" t="str">
        <f t="shared" si="5"/>
        <v/>
      </c>
      <c r="V26" s="13" t="str">
        <f t="shared" si="6"/>
        <v/>
      </c>
      <c r="W26" s="13" t="str">
        <f t="shared" si="7"/>
        <v/>
      </c>
      <c r="X26" s="13" t="str">
        <f>IF(AND(N26="",R26&lt;&gt;0),"",IF(LEFT(H26,4)&lt;&gt;"Room","PASS",IF(LEFT(F26,4)&lt;&gt;"Room","FAIL",IF('HVAC Worksheet'!Y36&lt;=S26,"PASS","FAIL"))))</f>
        <v/>
      </c>
      <c r="Y26" s="511" t="str">
        <f t="shared" si="10"/>
        <v>FAIL</v>
      </c>
      <c r="Z26" s="15" t="str">
        <f t="shared" si="8"/>
        <v>Select …</v>
      </c>
      <c r="AA26" s="530" t="e">
        <f>IF(OR(Z26="",Z26="… please select …"),0,INDEX(References!$H$22:$H$43,MATCH(Z26,References!$G$22:$G$43,0)))</f>
        <v>#N/A</v>
      </c>
      <c r="AB26" s="61" t="e">
        <f>IF(OR(Z26="",Z26="… please select …"),0,INDEX(References!$I$22:$I$43,MATCH(Z26,References!$G$22:$G$43,0)))</f>
        <v>#N/A</v>
      </c>
      <c r="AF26" s="10">
        <v>20</v>
      </c>
      <c r="AG26" s="21" t="str">
        <f t="shared" si="9"/>
        <v xml:space="preserve">   </v>
      </c>
      <c r="AH26" s="21" t="str">
        <f>IF(OR('HVAC Worksheet'!$T36="",'HVAC Worksheet'!T36="None"),IF($H26="  ","","Baseline "&amp;INDEX(References!$W$4:$W$44,MATCH($H26,References!$T$4:$T$44,0))),"Existing "&amp;'HVAC Worksheet'!$T36)</f>
        <v/>
      </c>
      <c r="AI26" s="89" t="str">
        <f>IF(OR('HVAC Worksheet'!U36="",'HVAC Worksheet'!U36="None"),IF(I26="","","Baseline "&amp;INDEX(References!$X$4:$X$44,MATCH($H26,References!$T$4:$T$44,0))),"Existing "&amp;'HVAC Worksheet'!U36)</f>
        <v/>
      </c>
      <c r="AJ26" s="342" t="str">
        <f>_xlfn.IFNA(IF(OR('HVAC Worksheet'!X36=0,'HVAC Worksheet'!X36=""),IF(OR(LEFT(H26,3)="pac",LEFT(H26,4)="Room"),0,INDEX(References!$BL$5:$BL$44,MATCH(H26,References!$AY$5:$AY$44,0))),'HVAC Worksheet'!X36),"")</f>
        <v/>
      </c>
      <c r="AK26" s="343" t="str">
        <f>IF(H26="  ","",IF('HVAC Worksheet'!Y36="",IF(LEFT(H26,3)="Pac",(INDEX(References!$BM$4:$BM$44,MATCH(H26,References!$AY$4:$AY$44,0)))-(0.3*I26*12000/1000),INDEX(References!$BM$4:$BM$44,MATCH(H26,References!$AY$4:$AY$44,0))),'HVAC Worksheet'!Y36))</f>
        <v/>
      </c>
      <c r="AL26" s="765" t="str">
        <f>IF(H26="  ","",IF(OR($AI26="Existing Gas",$AI26="Existing Oil",$AI26="Existing Propane",$AI26="Baseline New Construction"),0,IF(AND('HVAC Worksheet'!AA36=0,'HVAC Worksheet'!Z36=0),IF(LEFT(H26,3)="pac",0,INDEX(References!$BN$4:$BN$44,MATCH(H26,References!$AY$4:$AY$44,0))),IF(AND('HVAC Worksheet'!AA36&gt;0,'HVAC Worksheet'!Z36=0),'HVAC Worksheet'!AA36*References!$B$49,'HVAC Worksheet'!Z36))))</f>
        <v/>
      </c>
      <c r="AM26" s="765" t="str">
        <f>IF($H26="  ","",IF(OR($AI26="Existing Gas",$AI26="Existing Oil",$AI26="Existing Propane",$AI26="Baseline New Construction"),0,IF(OR('HVAC Worksheet'!AA36="",'HVAC Worksheet'!AA36=0),IF(LEFT(H26,3)="Pac",(INDEX(References!$BN$4:$BN$44,MATCH(H26,References!$AY$4:$AY$44,0)))-INDEX(References!$BO$4:$BO$44,MATCH(H26,References!$AY$4:$AY$44,0))*I26*12000/1000,INDEX(References!$BO$4:$BO$44,MATCH(H26,References!$AY$4:$AY$44,0))),'HVAC Worksheet'!AA36)))</f>
        <v/>
      </c>
      <c r="AN26" s="781" t="str">
        <f>IF($H26="  ","",IF(OR($AI26="Existing Gas",$AI26="Existing Oil",$AI26="Existing Propane",$AI26="Baseline New Construction"),IF(OR('HVAC Worksheet'!AB36="",'HVAC Worksheet'!AB36=0),INDEX(References!$E$136:$E$140,MATCH(AI26,References!$D$136:$D$140,0)),'HVAC Worksheet'!AB36),0))</f>
        <v/>
      </c>
      <c r="AO26" s="766">
        <f>IF(OR(LEFT(AI26,8)="Existing",RIGHT(AI26,16)="New Construction"),References!$B$33,1)</f>
        <v>1</v>
      </c>
      <c r="AP26" s="525">
        <f>References!$B$37</f>
        <v>15</v>
      </c>
      <c r="AQ26" s="212" t="e">
        <f>IF(AND(AK26&gt;0,L26&gt;0),ROUND((I26*12)*((1/AK26)-(1/L26)),References!$B$40),0)</f>
        <v>#VALUE!</v>
      </c>
      <c r="AR26" s="308" t="e">
        <f>IF(AND(AK26&gt;0,L26&gt;0),ROUND((J26*I26*12)*((1/AK26)-(1/L26)),References!$B$40),0)</f>
        <v>#VALUE!</v>
      </c>
      <c r="AS26" s="308" t="e">
        <f>IF(AND(AJ26=0,AK26=0),0,IF(AJ26&gt;0,ROUND((I26*12)*((1/AJ26)-(1/K26))*AA26,References!$B$43),ROUND((I26*12)*((1/AK26)-(1/L26))*AA26,References!$B$43)))</f>
        <v>#VALUE!</v>
      </c>
      <c r="AT26" s="308" t="e">
        <f>AS26*References!$B$29</f>
        <v>#VALUE!</v>
      </c>
      <c r="AU26" s="308" t="e">
        <f t="shared" si="11"/>
        <v>#VALUE!</v>
      </c>
      <c r="AV26" s="212">
        <f>IF(AND(N26&gt;0,AM26&gt;0,N26&lt;&gt;""),ROUND((I26*12)*((1/(AM26))-(1/(N26))),References!$B$40),IF(AND(M26&gt;0,AL26&gt;0,M26&lt;&gt;""),ROUND((I26*12)*(1/(AL26/3.412))-(1/(M26/3.412)),References!$B$40),IF(AND(N26&gt;0,N26&lt;&gt;""),ROUND((I26*12)*-(1/(N26/3.412)),References!$B$40),IF(AND(M26&gt;0,M26&lt;&gt;""),ROUND((I26*12)*-(1/(M26/3.412)),References!$B$40),0))))</f>
        <v>0</v>
      </c>
      <c r="AW26" s="308" t="e">
        <f t="shared" si="12"/>
        <v>#VALUE!</v>
      </c>
      <c r="AX26" s="308" t="e">
        <f>ROUND(AU26*AN26*AP26,References!$B$43)</f>
        <v>#VALUE!</v>
      </c>
      <c r="AY26" s="308" t="e">
        <f>IF(AND(AL26&gt;0,M26&gt;0),ROUND((I26*12)*((1/AL26)-(1/M26))*AB26*AO26,References!$B$43),IF(AND(AM26&gt;0,N26&gt;0),ROUND((I26*12)*((1/AM26)-(1/N26))*AB26*AO26/3.413,References!$B$43),0))</f>
        <v>#VALUE!</v>
      </c>
      <c r="AZ26" s="767">
        <f>IF(AND(OR($AI26="Existing Gas",$AI26="Existing Oil",$AI26="Existing Propane",$AI26="Baseline New Construction"),RIGHT(C26,10)="Heat Pumps"),IF(AND(M26&gt;0,M26&lt;&gt;""),ROUND(((I26*12)*((1/M26))*AB26*AO26)-AX26,References!$B$43),IF(AND(N26&gt;0,N26&lt;&gt;""),ROUND(((I26*12)*((1/N26))*AB26*AO26/3.412)-AX26,References!$B$43),0)),0)</f>
        <v>0</v>
      </c>
      <c r="BA26" s="308" t="e">
        <f>(AY26*References!$B$29)-(AZ26*References!$B$29)</f>
        <v>#VALUE!</v>
      </c>
      <c r="BB26" s="308" t="e">
        <f t="shared" si="13"/>
        <v>#VALUE!</v>
      </c>
      <c r="BC26" s="308" t="e">
        <f t="shared" si="14"/>
        <v>#VALUE!</v>
      </c>
      <c r="BD26" s="343" t="e">
        <f t="shared" si="15"/>
        <v>#VALUE!</v>
      </c>
      <c r="BE26" s="343" t="e">
        <f t="shared" si="16"/>
        <v>#VALUE!</v>
      </c>
      <c r="BF26" s="343" t="e">
        <f t="shared" si="17"/>
        <v>#VALUE!</v>
      </c>
      <c r="BG26" s="343" t="e">
        <f t="shared" si="18"/>
        <v>#VALUE!</v>
      </c>
      <c r="BH26" s="343" t="e">
        <f t="shared" si="19"/>
        <v>#VALUE!</v>
      </c>
      <c r="BI26" s="16" t="e">
        <f t="shared" si="20"/>
        <v>#VALUE!</v>
      </c>
      <c r="BJ26" s="343" t="e">
        <f t="shared" si="21"/>
        <v>#VALUE!</v>
      </c>
      <c r="BK26" s="343" t="e">
        <f t="shared" si="22"/>
        <v>#VALUE!</v>
      </c>
      <c r="BL26" s="63">
        <f t="shared" si="23"/>
        <v>0</v>
      </c>
      <c r="BM26" s="526">
        <f t="shared" si="24"/>
        <v>0</v>
      </c>
      <c r="BN26" s="10">
        <v>20</v>
      </c>
      <c r="BO26" s="561" t="str">
        <f t="shared" si="25"/>
        <v xml:space="preserve">  </v>
      </c>
      <c r="BP26" s="62" t="str">
        <f t="shared" si="26"/>
        <v/>
      </c>
      <c r="BQ26" s="89" t="str">
        <f t="shared" si="27"/>
        <v xml:space="preserve">   </v>
      </c>
      <c r="BR26" s="89" t="str">
        <f>IF(Y26="FAIL","",INDEX(References!$AH$4:$AH$90,MATCH(Calculations!BQ26,References!$AG$4:$AG$90,0)))</f>
        <v/>
      </c>
      <c r="BS26" s="88" t="e">
        <f>BD26*References!$B$21+IF(BE26&lt;0,0,BE26*References!$B$25)</f>
        <v>#VALUE!</v>
      </c>
      <c r="BT26" s="768" t="e">
        <f>IF(BE26&gt;0,0,BE26*References!$B$25)+AU26*INDEX(References!$F$136:$F$142,MATCH(AI26,References!$D$136:$D$142,0))</f>
        <v>#VALUE!</v>
      </c>
      <c r="BU26" s="88">
        <f>IF(BR26="",0,ROUND(INDEX(References!$E$118:$E$132,MATCH('HVAC Worksheet'!B36,References!$D$118:$D$132,0))*AQ26*J26,References!$B$40))</f>
        <v>0</v>
      </c>
    </row>
    <row r="27" spans="2:73" x14ac:dyDescent="0.3">
      <c r="B27" s="11">
        <v>21</v>
      </c>
      <c r="C27" s="15" t="str">
        <f>IF('HVAC Worksheet'!B37="","",'HVAC Worksheet'!B37)</f>
        <v/>
      </c>
      <c r="D27" s="13" t="str">
        <f>IF('HVAC Worksheet'!C37="","",'HVAC Worksheet'!C37)</f>
        <v/>
      </c>
      <c r="E27" s="13" t="str">
        <f>IF('HVAC Worksheet'!E37="","",'HVAC Worksheet'!E37)</f>
        <v/>
      </c>
      <c r="F27" s="13" t="str">
        <f>IF('HVAC Worksheet'!T37="","",'HVAC Worksheet'!T37)</f>
        <v/>
      </c>
      <c r="G27" s="590" t="str">
        <f>IF('HVAC Worksheet'!V37="","",'HVAC Worksheet'!V37)</f>
        <v/>
      </c>
      <c r="H27" s="511" t="str">
        <f t="shared" si="0"/>
        <v xml:space="preserve">  </v>
      </c>
      <c r="I27" s="15" t="str">
        <f>IF('HVAC Worksheet'!H37="","",'HVAC Worksheet'!H37)</f>
        <v/>
      </c>
      <c r="J27" s="14" t="str">
        <f>IF('HVAC Worksheet'!I37="","",'HVAC Worksheet'!I37)</f>
        <v/>
      </c>
      <c r="K27" s="15" t="str">
        <f>IF(LEFT('HVAC Worksheet'!B37,4)="Room",Calculations!L27,IF('HVAC Worksheet'!J37="","",'HVAC Worksheet'!J37))</f>
        <v/>
      </c>
      <c r="L27" s="13" t="str">
        <f>IF('HVAC Worksheet'!K37="","",'HVAC Worksheet'!K37)</f>
        <v/>
      </c>
      <c r="M27" s="13" t="str">
        <f>IF($H27="  ","",IF('HVAC Worksheet'!L37="",0,'HVAC Worksheet'!L37))</f>
        <v/>
      </c>
      <c r="N27" s="13" t="str">
        <f>IF($H27="  ","",IF('HVAC Worksheet'!M37="",0,'HVAC Worksheet'!M37))</f>
        <v/>
      </c>
      <c r="O27" s="15" t="str">
        <f>IF(H27="  ","",INDEX(HVAC_T1T2ReferenceTable,MATCH(H27,References!$AY$4:$AY$44,0),2))</f>
        <v/>
      </c>
      <c r="P27" s="13" t="str">
        <f t="shared" si="1"/>
        <v/>
      </c>
      <c r="Q27" s="13" t="str">
        <f t="shared" si="2"/>
        <v/>
      </c>
      <c r="R27" s="13" t="str">
        <f t="shared" si="3"/>
        <v/>
      </c>
      <c r="S27" s="13" t="str">
        <f>IF(LEFT(H27,4)="Room",References!$AU$4,"")</f>
        <v/>
      </c>
      <c r="T27" s="15" t="str">
        <f t="shared" si="4"/>
        <v/>
      </c>
      <c r="U27" s="13" t="str">
        <f t="shared" si="5"/>
        <v/>
      </c>
      <c r="V27" s="13" t="str">
        <f t="shared" si="6"/>
        <v/>
      </c>
      <c r="W27" s="13" t="str">
        <f t="shared" si="7"/>
        <v/>
      </c>
      <c r="X27" s="13" t="str">
        <f>IF(AND(N27="",R27&lt;&gt;0),"",IF(LEFT(H27,4)&lt;&gt;"Room","PASS",IF(LEFT(F27,4)&lt;&gt;"Room","FAIL",IF('HVAC Worksheet'!Y37&lt;=S27,"PASS","FAIL"))))</f>
        <v/>
      </c>
      <c r="Y27" s="511" t="str">
        <f t="shared" si="10"/>
        <v>FAIL</v>
      </c>
      <c r="Z27" s="15" t="str">
        <f t="shared" si="8"/>
        <v>Select …</v>
      </c>
      <c r="AA27" s="530" t="e">
        <f>IF(OR(Z27="",Z27="… please select …"),0,INDEX(References!$H$22:$H$43,MATCH(Z27,References!$G$22:$G$43,0)))</f>
        <v>#N/A</v>
      </c>
      <c r="AB27" s="61" t="e">
        <f>IF(OR(Z27="",Z27="… please select …"),0,INDEX(References!$I$22:$I$43,MATCH(Z27,References!$G$22:$G$43,0)))</f>
        <v>#N/A</v>
      </c>
      <c r="AF27" s="10">
        <v>21</v>
      </c>
      <c r="AG27" s="21" t="str">
        <f t="shared" si="9"/>
        <v xml:space="preserve">   </v>
      </c>
      <c r="AH27" s="21" t="str">
        <f>IF(OR('HVAC Worksheet'!$T37="",'HVAC Worksheet'!T37="None"),IF($H27="  ","","Baseline "&amp;INDEX(References!$W$4:$W$44,MATCH($H27,References!$T$4:$T$44,0))),"Existing "&amp;'HVAC Worksheet'!$T37)</f>
        <v/>
      </c>
      <c r="AI27" s="89" t="str">
        <f>IF(OR('HVAC Worksheet'!U37="",'HVAC Worksheet'!U37="None"),IF(I27="","","Baseline "&amp;INDEX(References!$X$4:$X$44,MATCH($H27,References!$T$4:$T$44,0))),"Existing "&amp;'HVAC Worksheet'!U37)</f>
        <v/>
      </c>
      <c r="AJ27" s="342" t="str">
        <f>_xlfn.IFNA(IF(OR('HVAC Worksheet'!X37=0,'HVAC Worksheet'!X37=""),IF(OR(LEFT(H27,3)="pac",LEFT(H27,4)="Room"),0,INDEX(References!$BL$5:$BL$44,MATCH(H27,References!$AY$5:$AY$44,0))),'HVAC Worksheet'!X37),"")</f>
        <v/>
      </c>
      <c r="AK27" s="343" t="str">
        <f>IF(H27="  ","",IF('HVAC Worksheet'!Y37="",IF(LEFT(H27,3)="Pac",(INDEX(References!$BM$4:$BM$44,MATCH(H27,References!$AY$4:$AY$44,0)))-(0.3*I27*12000/1000),INDEX(References!$BM$4:$BM$44,MATCH(H27,References!$AY$4:$AY$44,0))),'HVAC Worksheet'!Y37))</f>
        <v/>
      </c>
      <c r="AL27" s="765" t="str">
        <f>IF(H27="  ","",IF(OR($AI27="Existing Gas",$AI27="Existing Oil",$AI27="Existing Propane",$AI27="Baseline New Construction"),0,IF(AND('HVAC Worksheet'!AA37=0,'HVAC Worksheet'!Z37=0),IF(LEFT(H27,3)="pac",0,INDEX(References!$BN$4:$BN$44,MATCH(H27,References!$AY$4:$AY$44,0))),IF(AND('HVAC Worksheet'!AA37&gt;0,'HVAC Worksheet'!Z37=0),'HVAC Worksheet'!AA37*References!$B$49,'HVAC Worksheet'!Z37))))</f>
        <v/>
      </c>
      <c r="AM27" s="765" t="str">
        <f>IF($H27="  ","",IF(OR($AI27="Existing Gas",$AI27="Existing Oil",$AI27="Existing Propane",$AI27="Baseline New Construction"),0,IF(OR('HVAC Worksheet'!AA37="",'HVAC Worksheet'!AA37=0),IF(LEFT(H27,3)="Pac",(INDEX(References!$BN$4:$BN$44,MATCH(H27,References!$AY$4:$AY$44,0)))-INDEX(References!$BO$4:$BO$44,MATCH(H27,References!$AY$4:$AY$44,0))*I27*12000/1000,INDEX(References!$BO$4:$BO$44,MATCH(H27,References!$AY$4:$AY$44,0))),'HVAC Worksheet'!AA37)))</f>
        <v/>
      </c>
      <c r="AN27" s="781" t="str">
        <f>IF($H27="  ","",IF(OR($AI27="Existing Gas",$AI27="Existing Oil",$AI27="Existing Propane",$AI27="Baseline New Construction"),IF(OR('HVAC Worksheet'!AB37="",'HVAC Worksheet'!AB37=0),INDEX(References!$E$136:$E$140,MATCH(AI27,References!$D$136:$D$140,0)),'HVAC Worksheet'!AB37),0))</f>
        <v/>
      </c>
      <c r="AO27" s="766">
        <f>IF(OR(LEFT(AI27,8)="Existing",RIGHT(AI27,16)="New Construction"),References!$B$33,1)</f>
        <v>1</v>
      </c>
      <c r="AP27" s="525">
        <f>References!$B$37</f>
        <v>15</v>
      </c>
      <c r="AQ27" s="212" t="e">
        <f>IF(AND(AK27&gt;0,L27&gt;0),ROUND((I27*12)*((1/AK27)-(1/L27)),References!$B$40),0)</f>
        <v>#VALUE!</v>
      </c>
      <c r="AR27" s="308" t="e">
        <f>IF(AND(AK27&gt;0,L27&gt;0),ROUND((J27*I27*12)*((1/AK27)-(1/L27)),References!$B$40),0)</f>
        <v>#VALUE!</v>
      </c>
      <c r="AS27" s="308" t="e">
        <f>IF(AND(AJ27=0,AK27=0),0,IF(AJ27&gt;0,ROUND((I27*12)*((1/AJ27)-(1/K27))*AA27,References!$B$43),ROUND((I27*12)*((1/AK27)-(1/L27))*AA27,References!$B$43)))</f>
        <v>#VALUE!</v>
      </c>
      <c r="AT27" s="308" t="e">
        <f>AS27*References!$B$29</f>
        <v>#VALUE!</v>
      </c>
      <c r="AU27" s="308" t="e">
        <f t="shared" si="11"/>
        <v>#VALUE!</v>
      </c>
      <c r="AV27" s="212">
        <f>IF(AND(N27&gt;0,AM27&gt;0,N27&lt;&gt;""),ROUND((I27*12)*((1/(AM27))-(1/(N27))),References!$B$40),IF(AND(M27&gt;0,AL27&gt;0,M27&lt;&gt;""),ROUND((I27*12)*(1/(AL27/3.412))-(1/(M27/3.412)),References!$B$40),IF(AND(N27&gt;0,N27&lt;&gt;""),ROUND((I27*12)*-(1/(N27/3.412)),References!$B$40),IF(AND(M27&gt;0,M27&lt;&gt;""),ROUND((I27*12)*-(1/(M27/3.412)),References!$B$40),0))))</f>
        <v>0</v>
      </c>
      <c r="AW27" s="308" t="e">
        <f t="shared" si="12"/>
        <v>#VALUE!</v>
      </c>
      <c r="AX27" s="308" t="e">
        <f>ROUND(AU27*AN27*AP27,References!$B$43)</f>
        <v>#VALUE!</v>
      </c>
      <c r="AY27" s="308" t="e">
        <f>IF(AND(AL27&gt;0,M27&gt;0),ROUND((I27*12)*((1/AL27)-(1/M27))*AB27*AO27,References!$B$43),IF(AND(AM27&gt;0,N27&gt;0),ROUND((I27*12)*((1/AM27)-(1/N27))*AB27*AO27/3.413,References!$B$43),0))</f>
        <v>#VALUE!</v>
      </c>
      <c r="AZ27" s="767">
        <f>IF(AND(OR($AI27="Existing Gas",$AI27="Existing Oil",$AI27="Existing Propane",$AI27="Baseline New Construction"),RIGHT(C27,10)="Heat Pumps"),IF(AND(M27&gt;0,M27&lt;&gt;""),ROUND(((I27*12)*((1/M27))*AB27*AO27)-AX27,References!$B$43),IF(AND(N27&gt;0,N27&lt;&gt;""),ROUND(((I27*12)*((1/N27))*AB27*AO27/3.412)-AX27,References!$B$43),0)),0)</f>
        <v>0</v>
      </c>
      <c r="BA27" s="308" t="e">
        <f>(AY27*References!$B$29)-(AZ27*References!$B$29)</f>
        <v>#VALUE!</v>
      </c>
      <c r="BB27" s="308" t="e">
        <f t="shared" si="13"/>
        <v>#VALUE!</v>
      </c>
      <c r="BC27" s="308" t="e">
        <f t="shared" si="14"/>
        <v>#VALUE!</v>
      </c>
      <c r="BD27" s="343" t="e">
        <f t="shared" si="15"/>
        <v>#VALUE!</v>
      </c>
      <c r="BE27" s="343" t="e">
        <f t="shared" si="16"/>
        <v>#VALUE!</v>
      </c>
      <c r="BF27" s="343" t="e">
        <f t="shared" si="17"/>
        <v>#VALUE!</v>
      </c>
      <c r="BG27" s="343" t="e">
        <f t="shared" si="18"/>
        <v>#VALUE!</v>
      </c>
      <c r="BH27" s="343" t="e">
        <f t="shared" si="19"/>
        <v>#VALUE!</v>
      </c>
      <c r="BI27" s="16" t="e">
        <f t="shared" si="20"/>
        <v>#VALUE!</v>
      </c>
      <c r="BJ27" s="343" t="e">
        <f t="shared" si="21"/>
        <v>#VALUE!</v>
      </c>
      <c r="BK27" s="343" t="e">
        <f t="shared" si="22"/>
        <v>#VALUE!</v>
      </c>
      <c r="BL27" s="63">
        <f t="shared" si="23"/>
        <v>0</v>
      </c>
      <c r="BM27" s="526">
        <f t="shared" si="24"/>
        <v>0</v>
      </c>
      <c r="BN27" s="10">
        <v>21</v>
      </c>
      <c r="BO27" s="561" t="str">
        <f t="shared" si="25"/>
        <v xml:space="preserve">  </v>
      </c>
      <c r="BP27" s="62" t="str">
        <f t="shared" si="26"/>
        <v/>
      </c>
      <c r="BQ27" s="89" t="str">
        <f t="shared" si="27"/>
        <v xml:space="preserve">   </v>
      </c>
      <c r="BR27" s="89" t="str">
        <f>IF(Y27="FAIL","",INDEX(References!$AH$4:$AH$90,MATCH(Calculations!BQ27,References!$AG$4:$AG$90,0)))</f>
        <v/>
      </c>
      <c r="BS27" s="88" t="e">
        <f>BD27*References!$B$21+IF(BE27&lt;0,0,BE27*References!$B$25)</f>
        <v>#VALUE!</v>
      </c>
      <c r="BT27" s="768" t="e">
        <f>IF(BE27&gt;0,0,BE27*References!$B$25)+AU27*INDEX(References!$F$136:$F$142,MATCH(AI27,References!$D$136:$D$142,0))</f>
        <v>#VALUE!</v>
      </c>
      <c r="BU27" s="88">
        <f>IF(BR27="",0,ROUND(INDEX(References!$E$118:$E$132,MATCH('HVAC Worksheet'!B37,References!$D$118:$D$132,0))*AQ27*J27,References!$B$40))</f>
        <v>0</v>
      </c>
    </row>
    <row r="28" spans="2:73" x14ac:dyDescent="0.3">
      <c r="B28" s="11">
        <v>22</v>
      </c>
      <c r="C28" s="15" t="str">
        <f>IF('HVAC Worksheet'!B38="","",'HVAC Worksheet'!B38)</f>
        <v/>
      </c>
      <c r="D28" s="13" t="str">
        <f>IF('HVAC Worksheet'!C38="","",'HVAC Worksheet'!C38)</f>
        <v/>
      </c>
      <c r="E28" s="13" t="str">
        <f>IF('HVAC Worksheet'!E38="","",'HVAC Worksheet'!E38)</f>
        <v/>
      </c>
      <c r="F28" s="13" t="str">
        <f>IF('HVAC Worksheet'!T38="","",'HVAC Worksheet'!T38)</f>
        <v/>
      </c>
      <c r="G28" s="590" t="str">
        <f>IF('HVAC Worksheet'!V38="","",'HVAC Worksheet'!V38)</f>
        <v/>
      </c>
      <c r="H28" s="511" t="str">
        <f t="shared" si="0"/>
        <v xml:space="preserve">  </v>
      </c>
      <c r="I28" s="15" t="str">
        <f>IF('HVAC Worksheet'!H38="","",'HVAC Worksheet'!H38)</f>
        <v/>
      </c>
      <c r="J28" s="14" t="str">
        <f>IF('HVAC Worksheet'!I38="","",'HVAC Worksheet'!I38)</f>
        <v/>
      </c>
      <c r="K28" s="15" t="str">
        <f>IF(LEFT('HVAC Worksheet'!B38,4)="Room",Calculations!L28,IF('HVAC Worksheet'!J38="","",'HVAC Worksheet'!J38))</f>
        <v/>
      </c>
      <c r="L28" s="13" t="str">
        <f>IF('HVAC Worksheet'!K38="","",'HVAC Worksheet'!K38)</f>
        <v/>
      </c>
      <c r="M28" s="13" t="str">
        <f>IF($H28="  ","",IF('HVAC Worksheet'!L38="",0,'HVAC Worksheet'!L38))</f>
        <v/>
      </c>
      <c r="N28" s="13" t="str">
        <f>IF($H28="  ","",IF('HVAC Worksheet'!M38="",0,'HVAC Worksheet'!M38))</f>
        <v/>
      </c>
      <c r="O28" s="15" t="str">
        <f>IF(H28="  ","",INDEX(HVAC_T1T2ReferenceTable,MATCH(H28,References!$AY$4:$AY$44,0),2))</f>
        <v/>
      </c>
      <c r="P28" s="13" t="str">
        <f t="shared" si="1"/>
        <v/>
      </c>
      <c r="Q28" s="13" t="str">
        <f t="shared" si="2"/>
        <v/>
      </c>
      <c r="R28" s="13" t="str">
        <f t="shared" si="3"/>
        <v/>
      </c>
      <c r="S28" s="13" t="str">
        <f>IF(LEFT(H28,4)="Room",References!$AU$4,"")</f>
        <v/>
      </c>
      <c r="T28" s="15" t="str">
        <f t="shared" si="4"/>
        <v/>
      </c>
      <c r="U28" s="13" t="str">
        <f t="shared" si="5"/>
        <v/>
      </c>
      <c r="V28" s="13" t="str">
        <f t="shared" si="6"/>
        <v/>
      </c>
      <c r="W28" s="13" t="str">
        <f t="shared" si="7"/>
        <v/>
      </c>
      <c r="X28" s="13" t="str">
        <f>IF(AND(N28="",R28&lt;&gt;0),"",IF(LEFT(H28,4)&lt;&gt;"Room","PASS",IF(LEFT(F28,4)&lt;&gt;"Room","FAIL",IF('HVAC Worksheet'!Y38&lt;=S28,"PASS","FAIL"))))</f>
        <v/>
      </c>
      <c r="Y28" s="511" t="str">
        <f t="shared" si="10"/>
        <v>FAIL</v>
      </c>
      <c r="Z28" s="15" t="str">
        <f t="shared" si="8"/>
        <v>Select …</v>
      </c>
      <c r="AA28" s="530" t="e">
        <f>IF(OR(Z28="",Z28="… please select …"),0,INDEX(References!$H$22:$H$43,MATCH(Z28,References!$G$22:$G$43,0)))</f>
        <v>#N/A</v>
      </c>
      <c r="AB28" s="61" t="e">
        <f>IF(OR(Z28="",Z28="… please select …"),0,INDEX(References!$I$22:$I$43,MATCH(Z28,References!$G$22:$G$43,0)))</f>
        <v>#N/A</v>
      </c>
      <c r="AF28" s="10">
        <v>22</v>
      </c>
      <c r="AG28" s="21" t="str">
        <f t="shared" si="9"/>
        <v xml:space="preserve">   </v>
      </c>
      <c r="AH28" s="21" t="str">
        <f>IF(OR('HVAC Worksheet'!$T38="",'HVAC Worksheet'!T38="None"),IF($H28="  ","","Baseline "&amp;INDEX(References!$W$4:$W$44,MATCH($H28,References!$T$4:$T$44,0))),"Existing "&amp;'HVAC Worksheet'!$T38)</f>
        <v/>
      </c>
      <c r="AI28" s="89" t="str">
        <f>IF(OR('HVAC Worksheet'!U38="",'HVAC Worksheet'!U38="None"),IF(I28="","","Baseline "&amp;INDEX(References!$X$4:$X$44,MATCH($H28,References!$T$4:$T$44,0))),"Existing "&amp;'HVAC Worksheet'!U38)</f>
        <v/>
      </c>
      <c r="AJ28" s="342" t="str">
        <f>_xlfn.IFNA(IF(OR('HVAC Worksheet'!X38=0,'HVAC Worksheet'!X38=""),IF(OR(LEFT(H28,3)="pac",LEFT(H28,4)="Room"),0,INDEX(References!$BL$5:$BL$44,MATCH(H28,References!$AY$5:$AY$44,0))),'HVAC Worksheet'!X38),"")</f>
        <v/>
      </c>
      <c r="AK28" s="343" t="str">
        <f>IF(H28="  ","",IF('HVAC Worksheet'!Y38="",IF(LEFT(H28,3)="Pac",(INDEX(References!$BM$4:$BM$44,MATCH(H28,References!$AY$4:$AY$44,0)))-(0.3*I28*12000/1000),INDEX(References!$BM$4:$BM$44,MATCH(H28,References!$AY$4:$AY$44,0))),'HVAC Worksheet'!Y38))</f>
        <v/>
      </c>
      <c r="AL28" s="765" t="str">
        <f>IF(H28="  ","",IF(OR($AI28="Existing Gas",$AI28="Existing Oil",$AI28="Existing Propane",$AI28="Baseline New Construction"),0,IF(AND('HVAC Worksheet'!AA38=0,'HVAC Worksheet'!Z38=0),IF(LEFT(H28,3)="pac",0,INDEX(References!$BN$4:$BN$44,MATCH(H28,References!$AY$4:$AY$44,0))),IF(AND('HVAC Worksheet'!AA38&gt;0,'HVAC Worksheet'!Z38=0),'HVAC Worksheet'!AA38*References!$B$49,'HVAC Worksheet'!Z38))))</f>
        <v/>
      </c>
      <c r="AM28" s="765" t="str">
        <f>IF($H28="  ","",IF(OR($AI28="Existing Gas",$AI28="Existing Oil",$AI28="Existing Propane",$AI28="Baseline New Construction"),0,IF(OR('HVAC Worksheet'!AA38="",'HVAC Worksheet'!AA38=0),IF(LEFT(H28,3)="Pac",(INDEX(References!$BN$4:$BN$44,MATCH(H28,References!$AY$4:$AY$44,0)))-INDEX(References!$BO$4:$BO$44,MATCH(H28,References!$AY$4:$AY$44,0))*I28*12000/1000,INDEX(References!$BO$4:$BO$44,MATCH(H28,References!$AY$4:$AY$44,0))),'HVAC Worksheet'!AA38)))</f>
        <v/>
      </c>
      <c r="AN28" s="781" t="str">
        <f>IF($H28="  ","",IF(OR($AI28="Existing Gas",$AI28="Existing Oil",$AI28="Existing Propane",$AI28="Baseline New Construction"),IF(OR('HVAC Worksheet'!AB38="",'HVAC Worksheet'!AB38=0),INDEX(References!$E$136:$E$140,MATCH(AI28,References!$D$136:$D$140,0)),'HVAC Worksheet'!AB38),0))</f>
        <v/>
      </c>
      <c r="AO28" s="766">
        <f>IF(OR(LEFT(AI28,8)="Existing",RIGHT(AI28,16)="New Construction"),References!$B$33,1)</f>
        <v>1</v>
      </c>
      <c r="AP28" s="525">
        <f>References!$B$37</f>
        <v>15</v>
      </c>
      <c r="AQ28" s="212" t="e">
        <f>IF(AND(AK28&gt;0,L28&gt;0),ROUND((I28*12)*((1/AK28)-(1/L28)),References!$B$40),0)</f>
        <v>#VALUE!</v>
      </c>
      <c r="AR28" s="308" t="e">
        <f>IF(AND(AK28&gt;0,L28&gt;0),ROUND((J28*I28*12)*((1/AK28)-(1/L28)),References!$B$40),0)</f>
        <v>#VALUE!</v>
      </c>
      <c r="AS28" s="308" t="e">
        <f>IF(AND(AJ28=0,AK28=0),0,IF(AJ28&gt;0,ROUND((I28*12)*((1/AJ28)-(1/K28))*AA28,References!$B$43),ROUND((I28*12)*((1/AK28)-(1/L28))*AA28,References!$B$43)))</f>
        <v>#VALUE!</v>
      </c>
      <c r="AT28" s="308" t="e">
        <f>AS28*References!$B$29</f>
        <v>#VALUE!</v>
      </c>
      <c r="AU28" s="308" t="e">
        <f t="shared" si="11"/>
        <v>#VALUE!</v>
      </c>
      <c r="AV28" s="212">
        <f>IF(AND(N28&gt;0,AM28&gt;0,N28&lt;&gt;""),ROUND((I28*12)*((1/(AM28))-(1/(N28))),References!$B$40),IF(AND(M28&gt;0,AL28&gt;0,M28&lt;&gt;""),ROUND((I28*12)*(1/(AL28/3.412))-(1/(M28/3.412)),References!$B$40),IF(AND(N28&gt;0,N28&lt;&gt;""),ROUND((I28*12)*-(1/(N28/3.412)),References!$B$40),IF(AND(M28&gt;0,M28&lt;&gt;""),ROUND((I28*12)*-(1/(M28/3.412)),References!$B$40),0))))</f>
        <v>0</v>
      </c>
      <c r="AW28" s="308" t="e">
        <f t="shared" si="12"/>
        <v>#VALUE!</v>
      </c>
      <c r="AX28" s="308" t="e">
        <f>ROUND(AU28*AN28*AP28,References!$B$43)</f>
        <v>#VALUE!</v>
      </c>
      <c r="AY28" s="308" t="e">
        <f>IF(AND(AL28&gt;0,M28&gt;0),ROUND((I28*12)*((1/AL28)-(1/M28))*AB28*AO28,References!$B$43),IF(AND(AM28&gt;0,N28&gt;0),ROUND((I28*12)*((1/AM28)-(1/N28))*AB28*AO28/3.413,References!$B$43),0))</f>
        <v>#VALUE!</v>
      </c>
      <c r="AZ28" s="767">
        <f>IF(AND(OR($AI28="Existing Gas",$AI28="Existing Oil",$AI28="Existing Propane",$AI28="Baseline New Construction"),RIGHT(C28,10)="Heat Pumps"),IF(AND(M28&gt;0,M28&lt;&gt;""),ROUND(((I28*12)*((1/M28))*AB28*AO28)-AX28,References!$B$43),IF(AND(N28&gt;0,N28&lt;&gt;""),ROUND(((I28*12)*((1/N28))*AB28*AO28/3.412)-AX28,References!$B$43),0)),0)</f>
        <v>0</v>
      </c>
      <c r="BA28" s="308" t="e">
        <f>(AY28*References!$B$29)-(AZ28*References!$B$29)</f>
        <v>#VALUE!</v>
      </c>
      <c r="BB28" s="308" t="e">
        <f t="shared" si="13"/>
        <v>#VALUE!</v>
      </c>
      <c r="BC28" s="308" t="e">
        <f t="shared" si="14"/>
        <v>#VALUE!</v>
      </c>
      <c r="BD28" s="343" t="e">
        <f t="shared" si="15"/>
        <v>#VALUE!</v>
      </c>
      <c r="BE28" s="343" t="e">
        <f t="shared" si="16"/>
        <v>#VALUE!</v>
      </c>
      <c r="BF28" s="343" t="e">
        <f t="shared" si="17"/>
        <v>#VALUE!</v>
      </c>
      <c r="BG28" s="343" t="e">
        <f t="shared" si="18"/>
        <v>#VALUE!</v>
      </c>
      <c r="BH28" s="343" t="e">
        <f t="shared" si="19"/>
        <v>#VALUE!</v>
      </c>
      <c r="BI28" s="16" t="e">
        <f t="shared" si="20"/>
        <v>#VALUE!</v>
      </c>
      <c r="BJ28" s="343" t="e">
        <f t="shared" si="21"/>
        <v>#VALUE!</v>
      </c>
      <c r="BK28" s="343" t="e">
        <f t="shared" si="22"/>
        <v>#VALUE!</v>
      </c>
      <c r="BL28" s="63">
        <f t="shared" si="23"/>
        <v>0</v>
      </c>
      <c r="BM28" s="526">
        <f t="shared" si="24"/>
        <v>0</v>
      </c>
      <c r="BN28" s="10">
        <v>22</v>
      </c>
      <c r="BO28" s="561" t="str">
        <f t="shared" si="25"/>
        <v xml:space="preserve">  </v>
      </c>
      <c r="BP28" s="62" t="str">
        <f t="shared" si="26"/>
        <v/>
      </c>
      <c r="BQ28" s="89" t="str">
        <f t="shared" si="27"/>
        <v xml:space="preserve">   </v>
      </c>
      <c r="BR28" s="89" t="str">
        <f>IF(Y28="FAIL","",INDEX(References!$AH$4:$AH$90,MATCH(Calculations!BQ28,References!$AG$4:$AG$90,0)))</f>
        <v/>
      </c>
      <c r="BS28" s="88" t="e">
        <f>BD28*References!$B$21+IF(BE28&lt;0,0,BE28*References!$B$25)</f>
        <v>#VALUE!</v>
      </c>
      <c r="BT28" s="768" t="e">
        <f>IF(BE28&gt;0,0,BE28*References!$B$25)+AU28*INDEX(References!$F$136:$F$142,MATCH(AI28,References!$D$136:$D$142,0))</f>
        <v>#VALUE!</v>
      </c>
      <c r="BU28" s="88">
        <f>IF(BR28="",0,ROUND(INDEX(References!$E$118:$E$132,MATCH('HVAC Worksheet'!B38,References!$D$118:$D$132,0))*AQ28*J28,References!$B$40))</f>
        <v>0</v>
      </c>
    </row>
    <row r="29" spans="2:73" x14ac:dyDescent="0.3">
      <c r="B29" s="11">
        <v>23</v>
      </c>
      <c r="C29" s="15" t="str">
        <f>IF('HVAC Worksheet'!B39="","",'HVAC Worksheet'!B39)</f>
        <v/>
      </c>
      <c r="D29" s="13" t="str">
        <f>IF('HVAC Worksheet'!C39="","",'HVAC Worksheet'!C39)</f>
        <v/>
      </c>
      <c r="E29" s="13" t="str">
        <f>IF('HVAC Worksheet'!E39="","",'HVAC Worksheet'!E39)</f>
        <v/>
      </c>
      <c r="F29" s="13" t="str">
        <f>IF('HVAC Worksheet'!T39="","",'HVAC Worksheet'!T39)</f>
        <v/>
      </c>
      <c r="G29" s="590" t="str">
        <f>IF('HVAC Worksheet'!V39="","",'HVAC Worksheet'!V39)</f>
        <v/>
      </c>
      <c r="H29" s="511" t="str">
        <f t="shared" si="0"/>
        <v xml:space="preserve">  </v>
      </c>
      <c r="I29" s="15" t="str">
        <f>IF('HVAC Worksheet'!H39="","",'HVAC Worksheet'!H39)</f>
        <v/>
      </c>
      <c r="J29" s="14" t="str">
        <f>IF('HVAC Worksheet'!I39="","",'HVAC Worksheet'!I39)</f>
        <v/>
      </c>
      <c r="K29" s="15" t="str">
        <f>IF(LEFT('HVAC Worksheet'!B39,4)="Room",Calculations!L29,IF('HVAC Worksheet'!J39="","",'HVAC Worksheet'!J39))</f>
        <v/>
      </c>
      <c r="L29" s="13" t="str">
        <f>IF('HVAC Worksheet'!K39="","",'HVAC Worksheet'!K39)</f>
        <v/>
      </c>
      <c r="M29" s="13" t="str">
        <f>IF($H29="  ","",IF('HVAC Worksheet'!L39="",0,'HVAC Worksheet'!L39))</f>
        <v/>
      </c>
      <c r="N29" s="13" t="str">
        <f>IF($H29="  ","",IF('HVAC Worksheet'!M39="",0,'HVAC Worksheet'!M39))</f>
        <v/>
      </c>
      <c r="O29" s="15" t="str">
        <f>IF(H29="  ","",INDEX(HVAC_T1T2ReferenceTable,MATCH(H29,References!$AY$4:$AY$44,0),2))</f>
        <v/>
      </c>
      <c r="P29" s="13" t="str">
        <f t="shared" si="1"/>
        <v/>
      </c>
      <c r="Q29" s="13" t="str">
        <f t="shared" si="2"/>
        <v/>
      </c>
      <c r="R29" s="13" t="str">
        <f t="shared" si="3"/>
        <v/>
      </c>
      <c r="S29" s="13" t="str">
        <f>IF(LEFT(H29,4)="Room",References!$AU$4,"")</f>
        <v/>
      </c>
      <c r="T29" s="15" t="str">
        <f t="shared" si="4"/>
        <v/>
      </c>
      <c r="U29" s="13" t="str">
        <f t="shared" si="5"/>
        <v/>
      </c>
      <c r="V29" s="13" t="str">
        <f t="shared" si="6"/>
        <v/>
      </c>
      <c r="W29" s="13" t="str">
        <f t="shared" si="7"/>
        <v/>
      </c>
      <c r="X29" s="13" t="str">
        <f>IF(AND(N29="",R29&lt;&gt;0),"",IF(LEFT(H29,4)&lt;&gt;"Room","PASS",IF(LEFT(F29,4)&lt;&gt;"Room","FAIL",IF('HVAC Worksheet'!Y39&lt;=S29,"PASS","FAIL"))))</f>
        <v/>
      </c>
      <c r="Y29" s="511" t="str">
        <f t="shared" si="10"/>
        <v>FAIL</v>
      </c>
      <c r="Z29" s="15" t="str">
        <f t="shared" si="8"/>
        <v>Select …</v>
      </c>
      <c r="AA29" s="530" t="e">
        <f>IF(OR(Z29="",Z29="… please select …"),0,INDEX(References!$H$22:$H$43,MATCH(Z29,References!$G$22:$G$43,0)))</f>
        <v>#N/A</v>
      </c>
      <c r="AB29" s="61" t="e">
        <f>IF(OR(Z29="",Z29="… please select …"),0,INDEX(References!$I$22:$I$43,MATCH(Z29,References!$G$22:$G$43,0)))</f>
        <v>#N/A</v>
      </c>
      <c r="AF29" s="10">
        <v>23</v>
      </c>
      <c r="AG29" s="21" t="str">
        <f t="shared" si="9"/>
        <v xml:space="preserve">   </v>
      </c>
      <c r="AH29" s="21" t="str">
        <f>IF(OR('HVAC Worksheet'!$T39="",'HVAC Worksheet'!T39="None"),IF($H29="  ","","Baseline "&amp;INDEX(References!$W$4:$W$44,MATCH($H29,References!$T$4:$T$44,0))),"Existing "&amp;'HVAC Worksheet'!$T39)</f>
        <v/>
      </c>
      <c r="AI29" s="89" t="str">
        <f>IF(OR('HVAC Worksheet'!U39="",'HVAC Worksheet'!U39="None"),IF(I29="","","Baseline "&amp;INDEX(References!$X$4:$X$44,MATCH($H29,References!$T$4:$T$44,0))),"Existing "&amp;'HVAC Worksheet'!U39)</f>
        <v/>
      </c>
      <c r="AJ29" s="342" t="str">
        <f>_xlfn.IFNA(IF(OR('HVAC Worksheet'!X39=0,'HVAC Worksheet'!X39=""),IF(OR(LEFT(H29,3)="pac",LEFT(H29,4)="Room"),0,INDEX(References!$BL$5:$BL$44,MATCH(H29,References!$AY$5:$AY$44,0))),'HVAC Worksheet'!X39),"")</f>
        <v/>
      </c>
      <c r="AK29" s="343" t="str">
        <f>IF(H29="  ","",IF('HVAC Worksheet'!Y39="",IF(LEFT(H29,3)="Pac",(INDEX(References!$BM$4:$BM$44,MATCH(H29,References!$AY$4:$AY$44,0)))-(0.3*I29*12000/1000),INDEX(References!$BM$4:$BM$44,MATCH(H29,References!$AY$4:$AY$44,0))),'HVAC Worksheet'!Y39))</f>
        <v/>
      </c>
      <c r="AL29" s="765" t="str">
        <f>IF(H29="  ","",IF(OR($AI29="Existing Gas",$AI29="Existing Oil",$AI29="Existing Propane",$AI29="Baseline New Construction"),0,IF(AND('HVAC Worksheet'!AA39=0,'HVAC Worksheet'!Z39=0),IF(LEFT(H29,3)="pac",0,INDEX(References!$BN$4:$BN$44,MATCH(H29,References!$AY$4:$AY$44,0))),IF(AND('HVAC Worksheet'!AA39&gt;0,'HVAC Worksheet'!Z39=0),'HVAC Worksheet'!AA39*References!$B$49,'HVAC Worksheet'!Z39))))</f>
        <v/>
      </c>
      <c r="AM29" s="765" t="str">
        <f>IF($H29="  ","",IF(OR($AI29="Existing Gas",$AI29="Existing Oil",$AI29="Existing Propane",$AI29="Baseline New Construction"),0,IF(OR('HVAC Worksheet'!AA39="",'HVAC Worksheet'!AA39=0),IF(LEFT(H29,3)="Pac",(INDEX(References!$BN$4:$BN$44,MATCH(H29,References!$AY$4:$AY$44,0)))-INDEX(References!$BO$4:$BO$44,MATCH(H29,References!$AY$4:$AY$44,0))*I29*12000/1000,INDEX(References!$BO$4:$BO$44,MATCH(H29,References!$AY$4:$AY$44,0))),'HVAC Worksheet'!AA39)))</f>
        <v/>
      </c>
      <c r="AN29" s="781" t="str">
        <f>IF($H29="  ","",IF(OR($AI29="Existing Gas",$AI29="Existing Oil",$AI29="Existing Propane",$AI29="Baseline New Construction"),IF(OR('HVAC Worksheet'!AB39="",'HVAC Worksheet'!AB39=0),INDEX(References!$E$136:$E$140,MATCH(AI29,References!$D$136:$D$140,0)),'HVAC Worksheet'!AB39),0))</f>
        <v/>
      </c>
      <c r="AO29" s="766">
        <f>IF(OR(LEFT(AI29,8)="Existing",RIGHT(AI29,16)="New Construction"),References!$B$33,1)</f>
        <v>1</v>
      </c>
      <c r="AP29" s="525">
        <f>References!$B$37</f>
        <v>15</v>
      </c>
      <c r="AQ29" s="212" t="e">
        <f>IF(AND(AK29&gt;0,L29&gt;0),ROUND((I29*12)*((1/AK29)-(1/L29)),References!$B$40),0)</f>
        <v>#VALUE!</v>
      </c>
      <c r="AR29" s="308" t="e">
        <f>IF(AND(AK29&gt;0,L29&gt;0),ROUND((J29*I29*12)*((1/AK29)-(1/L29)),References!$B$40),0)</f>
        <v>#VALUE!</v>
      </c>
      <c r="AS29" s="308" t="e">
        <f>IF(AND(AJ29=0,AK29=0),0,IF(AJ29&gt;0,ROUND((I29*12)*((1/AJ29)-(1/K29))*AA29,References!$B$43),ROUND((I29*12)*((1/AK29)-(1/L29))*AA29,References!$B$43)))</f>
        <v>#VALUE!</v>
      </c>
      <c r="AT29" s="308" t="e">
        <f>AS29*References!$B$29</f>
        <v>#VALUE!</v>
      </c>
      <c r="AU29" s="308" t="e">
        <f t="shared" si="11"/>
        <v>#VALUE!</v>
      </c>
      <c r="AV29" s="212">
        <f>IF(AND(N29&gt;0,AM29&gt;0,N29&lt;&gt;""),ROUND((I29*12)*((1/(AM29))-(1/(N29))),References!$B$40),IF(AND(M29&gt;0,AL29&gt;0,M29&lt;&gt;""),ROUND((I29*12)*(1/(AL29/3.412))-(1/(M29/3.412)),References!$B$40),IF(AND(N29&gt;0,N29&lt;&gt;""),ROUND((I29*12)*-(1/(N29/3.412)),References!$B$40),IF(AND(M29&gt;0,M29&lt;&gt;""),ROUND((I29*12)*-(1/(M29/3.412)),References!$B$40),0))))</f>
        <v>0</v>
      </c>
      <c r="AW29" s="308" t="e">
        <f t="shared" si="12"/>
        <v>#VALUE!</v>
      </c>
      <c r="AX29" s="308" t="e">
        <f>ROUND(AU29*AN29*AP29,References!$B$43)</f>
        <v>#VALUE!</v>
      </c>
      <c r="AY29" s="308" t="e">
        <f>IF(AND(AL29&gt;0,M29&gt;0),ROUND((I29*12)*((1/AL29)-(1/M29))*AB29*AO29,References!$B$43),IF(AND(AM29&gt;0,N29&gt;0),ROUND((I29*12)*((1/AM29)-(1/N29))*AB29*AO29/3.413,References!$B$43),0))</f>
        <v>#VALUE!</v>
      </c>
      <c r="AZ29" s="767">
        <f>IF(AND(OR($AI29="Existing Gas",$AI29="Existing Oil",$AI29="Existing Propane",$AI29="Baseline New Construction"),RIGHT(C29,10)="Heat Pumps"),IF(AND(M29&gt;0,M29&lt;&gt;""),ROUND(((I29*12)*((1/M29))*AB29*AO29)-AX29,References!$B$43),IF(AND(N29&gt;0,N29&lt;&gt;""),ROUND(((I29*12)*((1/N29))*AB29*AO29/3.412)-AX29,References!$B$43),0)),0)</f>
        <v>0</v>
      </c>
      <c r="BA29" s="308" t="e">
        <f>(AY29*References!$B$29)-(AZ29*References!$B$29)</f>
        <v>#VALUE!</v>
      </c>
      <c r="BB29" s="308" t="e">
        <f t="shared" si="13"/>
        <v>#VALUE!</v>
      </c>
      <c r="BC29" s="308" t="e">
        <f t="shared" si="14"/>
        <v>#VALUE!</v>
      </c>
      <c r="BD29" s="343" t="e">
        <f t="shared" si="15"/>
        <v>#VALUE!</v>
      </c>
      <c r="BE29" s="343" t="e">
        <f t="shared" si="16"/>
        <v>#VALUE!</v>
      </c>
      <c r="BF29" s="343" t="e">
        <f t="shared" si="17"/>
        <v>#VALUE!</v>
      </c>
      <c r="BG29" s="343" t="e">
        <f t="shared" si="18"/>
        <v>#VALUE!</v>
      </c>
      <c r="BH29" s="343" t="e">
        <f t="shared" si="19"/>
        <v>#VALUE!</v>
      </c>
      <c r="BI29" s="16" t="e">
        <f t="shared" si="20"/>
        <v>#VALUE!</v>
      </c>
      <c r="BJ29" s="343" t="e">
        <f t="shared" si="21"/>
        <v>#VALUE!</v>
      </c>
      <c r="BK29" s="343" t="e">
        <f t="shared" si="22"/>
        <v>#VALUE!</v>
      </c>
      <c r="BL29" s="63">
        <f t="shared" si="23"/>
        <v>0</v>
      </c>
      <c r="BM29" s="526">
        <f t="shared" si="24"/>
        <v>0</v>
      </c>
      <c r="BN29" s="10">
        <v>23</v>
      </c>
      <c r="BO29" s="561" t="str">
        <f t="shared" si="25"/>
        <v xml:space="preserve">  </v>
      </c>
      <c r="BP29" s="62" t="str">
        <f t="shared" si="26"/>
        <v/>
      </c>
      <c r="BQ29" s="89" t="str">
        <f t="shared" si="27"/>
        <v xml:space="preserve">   </v>
      </c>
      <c r="BR29" s="89" t="str">
        <f>IF(Y29="FAIL","",INDEX(References!$AH$4:$AH$90,MATCH(Calculations!BQ29,References!$AG$4:$AG$90,0)))</f>
        <v/>
      </c>
      <c r="BS29" s="88" t="e">
        <f>BD29*References!$B$21+IF(BE29&lt;0,0,BE29*References!$B$25)</f>
        <v>#VALUE!</v>
      </c>
      <c r="BT29" s="768" t="e">
        <f>IF(BE29&gt;0,0,BE29*References!$B$25)+AU29*INDEX(References!$F$136:$F$142,MATCH(AI29,References!$D$136:$D$142,0))</f>
        <v>#VALUE!</v>
      </c>
      <c r="BU29" s="88">
        <f>IF(BR29="",0,ROUND(INDEX(References!$E$118:$E$132,MATCH('HVAC Worksheet'!B39,References!$D$118:$D$132,0))*AQ29*J29,References!$B$40))</f>
        <v>0</v>
      </c>
    </row>
    <row r="30" spans="2:73" x14ac:dyDescent="0.3">
      <c r="B30" s="11">
        <v>24</v>
      </c>
      <c r="C30" s="15" t="str">
        <f>IF('HVAC Worksheet'!B40="","",'HVAC Worksheet'!B40)</f>
        <v/>
      </c>
      <c r="D30" s="13" t="str">
        <f>IF('HVAC Worksheet'!C40="","",'HVAC Worksheet'!C40)</f>
        <v/>
      </c>
      <c r="E30" s="13" t="str">
        <f>IF('HVAC Worksheet'!E40="","",'HVAC Worksheet'!E40)</f>
        <v/>
      </c>
      <c r="F30" s="13" t="str">
        <f>IF('HVAC Worksheet'!T40="","",'HVAC Worksheet'!T40)</f>
        <v/>
      </c>
      <c r="G30" s="590" t="str">
        <f>IF('HVAC Worksheet'!V40="","",'HVAC Worksheet'!V40)</f>
        <v/>
      </c>
      <c r="H30" s="511" t="str">
        <f t="shared" si="0"/>
        <v xml:space="preserve">  </v>
      </c>
      <c r="I30" s="15" t="str">
        <f>IF('HVAC Worksheet'!H40="","",'HVAC Worksheet'!H40)</f>
        <v/>
      </c>
      <c r="J30" s="14" t="str">
        <f>IF('HVAC Worksheet'!I40="","",'HVAC Worksheet'!I40)</f>
        <v/>
      </c>
      <c r="K30" s="15" t="str">
        <f>IF(LEFT('HVAC Worksheet'!B40,4)="Room",Calculations!L30,IF('HVAC Worksheet'!J40="","",'HVAC Worksheet'!J40))</f>
        <v/>
      </c>
      <c r="L30" s="13" t="str">
        <f>IF('HVAC Worksheet'!K40="","",'HVAC Worksheet'!K40)</f>
        <v/>
      </c>
      <c r="M30" s="13" t="str">
        <f>IF($H30="  ","",IF('HVAC Worksheet'!L40="",0,'HVAC Worksheet'!L40))</f>
        <v/>
      </c>
      <c r="N30" s="13" t="str">
        <f>IF($H30="  ","",IF('HVAC Worksheet'!M40="",0,'HVAC Worksheet'!M40))</f>
        <v/>
      </c>
      <c r="O30" s="15" t="str">
        <f>IF(H30="  ","",INDEX(HVAC_T1T2ReferenceTable,MATCH(H30,References!$AY$4:$AY$44,0),2))</f>
        <v/>
      </c>
      <c r="P30" s="13" t="str">
        <f t="shared" si="1"/>
        <v/>
      </c>
      <c r="Q30" s="13" t="str">
        <f t="shared" si="2"/>
        <v/>
      </c>
      <c r="R30" s="13" t="str">
        <f t="shared" si="3"/>
        <v/>
      </c>
      <c r="S30" s="13" t="str">
        <f>IF(LEFT(H30,4)="Room",References!$AU$4,"")</f>
        <v/>
      </c>
      <c r="T30" s="15" t="str">
        <f t="shared" si="4"/>
        <v/>
      </c>
      <c r="U30" s="13" t="str">
        <f t="shared" si="5"/>
        <v/>
      </c>
      <c r="V30" s="13" t="str">
        <f t="shared" si="6"/>
        <v/>
      </c>
      <c r="W30" s="13" t="str">
        <f t="shared" si="7"/>
        <v/>
      </c>
      <c r="X30" s="13" t="str">
        <f>IF(AND(N30="",R30&lt;&gt;0),"",IF(LEFT(H30,4)&lt;&gt;"Room","PASS",IF(LEFT(F30,4)&lt;&gt;"Room","FAIL",IF('HVAC Worksheet'!Y40&lt;=S30,"PASS","FAIL"))))</f>
        <v/>
      </c>
      <c r="Y30" s="511" t="str">
        <f t="shared" si="10"/>
        <v>FAIL</v>
      </c>
      <c r="Z30" s="15" t="str">
        <f t="shared" si="8"/>
        <v>Select …</v>
      </c>
      <c r="AA30" s="530" t="e">
        <f>IF(OR(Z30="",Z30="… please select …"),0,INDEX(References!$H$22:$H$43,MATCH(Z30,References!$G$22:$G$43,0)))</f>
        <v>#N/A</v>
      </c>
      <c r="AB30" s="61" t="e">
        <f>IF(OR(Z30="",Z30="… please select …"),0,INDEX(References!$I$22:$I$43,MATCH(Z30,References!$G$22:$G$43,0)))</f>
        <v>#N/A</v>
      </c>
      <c r="AF30" s="10">
        <v>24</v>
      </c>
      <c r="AG30" s="21" t="str">
        <f t="shared" si="9"/>
        <v xml:space="preserve">   </v>
      </c>
      <c r="AH30" s="21" t="str">
        <f>IF(OR('HVAC Worksheet'!$T40="",'HVAC Worksheet'!T40="None"),IF($H30="  ","","Baseline "&amp;INDEX(References!$W$4:$W$44,MATCH($H30,References!$T$4:$T$44,0))),"Existing "&amp;'HVAC Worksheet'!$T40)</f>
        <v/>
      </c>
      <c r="AI30" s="89" t="str">
        <f>IF(OR('HVAC Worksheet'!U40="",'HVAC Worksheet'!U40="None"),IF(I30="","","Baseline "&amp;INDEX(References!$X$4:$X$44,MATCH($H30,References!$T$4:$T$44,0))),"Existing "&amp;'HVAC Worksheet'!U40)</f>
        <v/>
      </c>
      <c r="AJ30" s="342" t="str">
        <f>_xlfn.IFNA(IF(OR('HVAC Worksheet'!X40=0,'HVAC Worksheet'!X40=""),IF(OR(LEFT(H30,3)="pac",LEFT(H30,4)="Room"),0,INDEX(References!$BL$5:$BL$44,MATCH(H30,References!$AY$5:$AY$44,0))),'HVAC Worksheet'!X40),"")</f>
        <v/>
      </c>
      <c r="AK30" s="343" t="str">
        <f>IF(H30="  ","",IF('HVAC Worksheet'!Y40="",IF(LEFT(H30,3)="Pac",(INDEX(References!$BM$4:$BM$44,MATCH(H30,References!$AY$4:$AY$44,0)))-(0.3*I30*12000/1000),INDEX(References!$BM$4:$BM$44,MATCH(H30,References!$AY$4:$AY$44,0))),'HVAC Worksheet'!Y40))</f>
        <v/>
      </c>
      <c r="AL30" s="765" t="str">
        <f>IF(H30="  ","",IF(OR($AI30="Existing Gas",$AI30="Existing Oil",$AI30="Existing Propane",$AI30="Baseline New Construction"),0,IF(AND('HVAC Worksheet'!AA40=0,'HVAC Worksheet'!Z40=0),IF(LEFT(H30,3)="pac",0,INDEX(References!$BN$4:$BN$44,MATCH(H30,References!$AY$4:$AY$44,0))),IF(AND('HVAC Worksheet'!AA40&gt;0,'HVAC Worksheet'!Z40=0),'HVAC Worksheet'!AA40*References!$B$49,'HVAC Worksheet'!Z40))))</f>
        <v/>
      </c>
      <c r="AM30" s="765" t="str">
        <f>IF($H30="  ","",IF(OR($AI30="Existing Gas",$AI30="Existing Oil",$AI30="Existing Propane",$AI30="Baseline New Construction"),0,IF(OR('HVAC Worksheet'!AA40="",'HVAC Worksheet'!AA40=0),IF(LEFT(H30,3)="Pac",(INDEX(References!$BN$4:$BN$44,MATCH(H30,References!$AY$4:$AY$44,0)))-INDEX(References!$BO$4:$BO$44,MATCH(H30,References!$AY$4:$AY$44,0))*I30*12000/1000,INDEX(References!$BO$4:$BO$44,MATCH(H30,References!$AY$4:$AY$44,0))),'HVAC Worksheet'!AA40)))</f>
        <v/>
      </c>
      <c r="AN30" s="781" t="str">
        <f>IF($H30="  ","",IF(OR($AI30="Existing Gas",$AI30="Existing Oil",$AI30="Existing Propane",$AI30="Baseline New Construction"),IF(OR('HVAC Worksheet'!AB40="",'HVAC Worksheet'!AB40=0),INDEX(References!$E$136:$E$140,MATCH(AI30,References!$D$136:$D$140,0)),'HVAC Worksheet'!AB40),0))</f>
        <v/>
      </c>
      <c r="AO30" s="766">
        <f>IF(OR(LEFT(AI30,8)="Existing",RIGHT(AI30,16)="New Construction"),References!$B$33,1)</f>
        <v>1</v>
      </c>
      <c r="AP30" s="525">
        <f>References!$B$37</f>
        <v>15</v>
      </c>
      <c r="AQ30" s="212" t="e">
        <f>IF(AND(AK30&gt;0,L30&gt;0),ROUND((I30*12)*((1/AK30)-(1/L30)),References!$B$40),0)</f>
        <v>#VALUE!</v>
      </c>
      <c r="AR30" s="308" t="e">
        <f>IF(AND(AK30&gt;0,L30&gt;0),ROUND((J30*I30*12)*((1/AK30)-(1/L30)),References!$B$40),0)</f>
        <v>#VALUE!</v>
      </c>
      <c r="AS30" s="308" t="e">
        <f>IF(AND(AJ30=0,AK30=0),0,IF(AJ30&gt;0,ROUND((I30*12)*((1/AJ30)-(1/K30))*AA30,References!$B$43),ROUND((I30*12)*((1/AK30)-(1/L30))*AA30,References!$B$43)))</f>
        <v>#VALUE!</v>
      </c>
      <c r="AT30" s="308" t="e">
        <f>AS30*References!$B$29</f>
        <v>#VALUE!</v>
      </c>
      <c r="AU30" s="308" t="e">
        <f t="shared" si="11"/>
        <v>#VALUE!</v>
      </c>
      <c r="AV30" s="212">
        <f>IF(AND(N30&gt;0,AM30&gt;0,N30&lt;&gt;""),ROUND((I30*12)*((1/(AM30))-(1/(N30))),References!$B$40),IF(AND(M30&gt;0,AL30&gt;0,M30&lt;&gt;""),ROUND((I30*12)*(1/(AL30/3.412))-(1/(M30/3.412)),References!$B$40),IF(AND(N30&gt;0,N30&lt;&gt;""),ROUND((I30*12)*-(1/(N30/3.412)),References!$B$40),IF(AND(M30&gt;0,M30&lt;&gt;""),ROUND((I30*12)*-(1/(M30/3.412)),References!$B$40),0))))</f>
        <v>0</v>
      </c>
      <c r="AW30" s="308" t="e">
        <f t="shared" si="12"/>
        <v>#VALUE!</v>
      </c>
      <c r="AX30" s="308" t="e">
        <f>ROUND(AU30*AN30*AP30,References!$B$43)</f>
        <v>#VALUE!</v>
      </c>
      <c r="AY30" s="308" t="e">
        <f>IF(AND(AL30&gt;0,M30&gt;0),ROUND((I30*12)*((1/AL30)-(1/M30))*AB30*AO30,References!$B$43),IF(AND(AM30&gt;0,N30&gt;0),ROUND((I30*12)*((1/AM30)-(1/N30))*AB30*AO30/3.413,References!$B$43),0))</f>
        <v>#VALUE!</v>
      </c>
      <c r="AZ30" s="767">
        <f>IF(AND(OR($AI30="Existing Gas",$AI30="Existing Oil",$AI30="Existing Propane",$AI30="Baseline New Construction"),RIGHT(C30,10)="Heat Pumps"),IF(AND(M30&gt;0,M30&lt;&gt;""),ROUND(((I30*12)*((1/M30))*AB30*AO30)-AX30,References!$B$43),IF(AND(N30&gt;0,N30&lt;&gt;""),ROUND(((I30*12)*((1/N30))*AB30*AO30/3.412)-AX30,References!$B$43),0)),0)</f>
        <v>0</v>
      </c>
      <c r="BA30" s="308" t="e">
        <f>(AY30*References!$B$29)-(AZ30*References!$B$29)</f>
        <v>#VALUE!</v>
      </c>
      <c r="BB30" s="308" t="e">
        <f t="shared" si="13"/>
        <v>#VALUE!</v>
      </c>
      <c r="BC30" s="308" t="e">
        <f t="shared" si="14"/>
        <v>#VALUE!</v>
      </c>
      <c r="BD30" s="343" t="e">
        <f t="shared" si="15"/>
        <v>#VALUE!</v>
      </c>
      <c r="BE30" s="343" t="e">
        <f t="shared" si="16"/>
        <v>#VALUE!</v>
      </c>
      <c r="BF30" s="343" t="e">
        <f t="shared" si="17"/>
        <v>#VALUE!</v>
      </c>
      <c r="BG30" s="343" t="e">
        <f t="shared" si="18"/>
        <v>#VALUE!</v>
      </c>
      <c r="BH30" s="343" t="e">
        <f t="shared" si="19"/>
        <v>#VALUE!</v>
      </c>
      <c r="BI30" s="16" t="e">
        <f t="shared" si="20"/>
        <v>#VALUE!</v>
      </c>
      <c r="BJ30" s="343" t="e">
        <f t="shared" si="21"/>
        <v>#VALUE!</v>
      </c>
      <c r="BK30" s="343" t="e">
        <f t="shared" si="22"/>
        <v>#VALUE!</v>
      </c>
      <c r="BL30" s="63">
        <f t="shared" si="23"/>
        <v>0</v>
      </c>
      <c r="BM30" s="526">
        <f t="shared" si="24"/>
        <v>0</v>
      </c>
      <c r="BN30" s="10">
        <v>24</v>
      </c>
      <c r="BO30" s="561" t="str">
        <f t="shared" si="25"/>
        <v xml:space="preserve">  </v>
      </c>
      <c r="BP30" s="62" t="str">
        <f t="shared" si="26"/>
        <v/>
      </c>
      <c r="BQ30" s="89" t="str">
        <f t="shared" si="27"/>
        <v xml:space="preserve">   </v>
      </c>
      <c r="BR30" s="89" t="str">
        <f>IF(Y30="FAIL","",INDEX(References!$AH$4:$AH$90,MATCH(Calculations!BQ30,References!$AG$4:$AG$90,0)))</f>
        <v/>
      </c>
      <c r="BS30" s="88" t="e">
        <f>BD30*References!$B$21+IF(BE30&lt;0,0,BE30*References!$B$25)</f>
        <v>#VALUE!</v>
      </c>
      <c r="BT30" s="768" t="e">
        <f>IF(BE30&gt;0,0,BE30*References!$B$25)+AU30*INDEX(References!$F$136:$F$142,MATCH(AI30,References!$D$136:$D$142,0))</f>
        <v>#VALUE!</v>
      </c>
      <c r="BU30" s="88">
        <f>IF(BR30="",0,ROUND(INDEX(References!$E$118:$E$132,MATCH('HVAC Worksheet'!B40,References!$D$118:$D$132,0))*AQ30*J30,References!$B$40))</f>
        <v>0</v>
      </c>
    </row>
    <row r="31" spans="2:73" x14ac:dyDescent="0.3">
      <c r="B31" s="11">
        <v>25</v>
      </c>
      <c r="C31" s="15" t="str">
        <f>IF('HVAC Worksheet'!B41="","",'HVAC Worksheet'!B41)</f>
        <v/>
      </c>
      <c r="D31" s="13" t="str">
        <f>IF('HVAC Worksheet'!C41="","",'HVAC Worksheet'!C41)</f>
        <v/>
      </c>
      <c r="E31" s="13" t="str">
        <f>IF('HVAC Worksheet'!E41="","",'HVAC Worksheet'!E41)</f>
        <v/>
      </c>
      <c r="F31" s="13" t="str">
        <f>IF('HVAC Worksheet'!T41="","",'HVAC Worksheet'!T41)</f>
        <v/>
      </c>
      <c r="G31" s="590" t="str">
        <f>IF('HVAC Worksheet'!V41="","",'HVAC Worksheet'!V41)</f>
        <v/>
      </c>
      <c r="H31" s="511" t="str">
        <f t="shared" si="0"/>
        <v xml:space="preserve">  </v>
      </c>
      <c r="I31" s="15" t="str">
        <f>IF('HVAC Worksheet'!H41="","",'HVAC Worksheet'!H41)</f>
        <v/>
      </c>
      <c r="J31" s="14" t="str">
        <f>IF('HVAC Worksheet'!I41="","",'HVAC Worksheet'!I41)</f>
        <v/>
      </c>
      <c r="K31" s="15" t="str">
        <f>IF(LEFT('HVAC Worksheet'!B41,4)="Room",Calculations!L31,IF('HVAC Worksheet'!J41="","",'HVAC Worksheet'!J41))</f>
        <v/>
      </c>
      <c r="L31" s="13" t="str">
        <f>IF('HVAC Worksheet'!K41="","",'HVAC Worksheet'!K41)</f>
        <v/>
      </c>
      <c r="M31" s="13" t="str">
        <f>IF($H31="  ","",IF('HVAC Worksheet'!L41="",0,'HVAC Worksheet'!L41))</f>
        <v/>
      </c>
      <c r="N31" s="13" t="str">
        <f>IF($H31="  ","",IF('HVAC Worksheet'!M41="",0,'HVAC Worksheet'!M41))</f>
        <v/>
      </c>
      <c r="O31" s="15" t="str">
        <f>IF(H31="  ","",INDEX(HVAC_T1T2ReferenceTable,MATCH(H31,References!$AY$4:$AY$44,0),2))</f>
        <v/>
      </c>
      <c r="P31" s="13" t="str">
        <f t="shared" si="1"/>
        <v/>
      </c>
      <c r="Q31" s="13" t="str">
        <f t="shared" si="2"/>
        <v/>
      </c>
      <c r="R31" s="13" t="str">
        <f t="shared" si="3"/>
        <v/>
      </c>
      <c r="S31" s="13" t="str">
        <f>IF(LEFT(H31,4)="Room",References!$AU$4,"")</f>
        <v/>
      </c>
      <c r="T31" s="15" t="str">
        <f t="shared" si="4"/>
        <v/>
      </c>
      <c r="U31" s="13" t="str">
        <f t="shared" si="5"/>
        <v/>
      </c>
      <c r="V31" s="13" t="str">
        <f t="shared" si="6"/>
        <v/>
      </c>
      <c r="W31" s="13" t="str">
        <f t="shared" si="7"/>
        <v/>
      </c>
      <c r="X31" s="13" t="str">
        <f>IF(AND(N31="",R31&lt;&gt;0),"",IF(LEFT(H31,4)&lt;&gt;"Room","PASS",IF(LEFT(F31,4)&lt;&gt;"Room","FAIL",IF('HVAC Worksheet'!Y41&lt;=S31,"PASS","FAIL"))))</f>
        <v/>
      </c>
      <c r="Y31" s="511" t="str">
        <f t="shared" si="10"/>
        <v>FAIL</v>
      </c>
      <c r="Z31" s="15" t="str">
        <f t="shared" si="8"/>
        <v>Select …</v>
      </c>
      <c r="AA31" s="530" t="e">
        <f>IF(OR(Z31="",Z31="… please select …"),0,INDEX(References!$H$22:$H$43,MATCH(Z31,References!$G$22:$G$43,0)))</f>
        <v>#N/A</v>
      </c>
      <c r="AB31" s="61" t="e">
        <f>IF(OR(Z31="",Z31="… please select …"),0,INDEX(References!$I$22:$I$43,MATCH(Z31,References!$G$22:$G$43,0)))</f>
        <v>#N/A</v>
      </c>
      <c r="AF31" s="10">
        <v>25</v>
      </c>
      <c r="AG31" s="21" t="str">
        <f t="shared" si="9"/>
        <v xml:space="preserve">   </v>
      </c>
      <c r="AH31" s="21" t="str">
        <f>IF(OR('HVAC Worksheet'!$T41="",'HVAC Worksheet'!T41="None"),IF($H31="  ","","Baseline "&amp;INDEX(References!$W$4:$W$44,MATCH($H31,References!$T$4:$T$44,0))),"Existing "&amp;'HVAC Worksheet'!$T41)</f>
        <v/>
      </c>
      <c r="AI31" s="89" t="str">
        <f>IF(OR('HVAC Worksheet'!U41="",'HVAC Worksheet'!U41="None"),IF(I31="","","Baseline "&amp;INDEX(References!$X$4:$X$44,MATCH($H31,References!$T$4:$T$44,0))),"Existing "&amp;'HVAC Worksheet'!U41)</f>
        <v/>
      </c>
      <c r="AJ31" s="342" t="str">
        <f>_xlfn.IFNA(IF(OR('HVAC Worksheet'!X41=0,'HVAC Worksheet'!X41=""),IF(OR(LEFT(H31,3)="pac",LEFT(H31,4)="Room"),0,INDEX(References!$BL$5:$BL$44,MATCH(H31,References!$AY$5:$AY$44,0))),'HVAC Worksheet'!X41),"")</f>
        <v/>
      </c>
      <c r="AK31" s="343" t="str">
        <f>IF(H31="  ","",IF('HVAC Worksheet'!Y41="",IF(LEFT(H31,3)="Pac",(INDEX(References!$BM$4:$BM$44,MATCH(H31,References!$AY$4:$AY$44,0)))-(0.3*I31*12000/1000),INDEX(References!$BM$4:$BM$44,MATCH(H31,References!$AY$4:$AY$44,0))),'HVAC Worksheet'!Y41))</f>
        <v/>
      </c>
      <c r="AL31" s="765" t="str">
        <f>IF(H31="  ","",IF(OR($AI31="Existing Gas",$AI31="Existing Oil",$AI31="Existing Propane",$AI31="Baseline New Construction"),0,IF(AND('HVAC Worksheet'!AA41=0,'HVAC Worksheet'!Z41=0),IF(LEFT(H31,3)="pac",0,INDEX(References!$BN$4:$BN$44,MATCH(H31,References!$AY$4:$AY$44,0))),IF(AND('HVAC Worksheet'!AA41&gt;0,'HVAC Worksheet'!Z41=0),'HVAC Worksheet'!AA41*References!$B$49,'HVAC Worksheet'!Z41))))</f>
        <v/>
      </c>
      <c r="AM31" s="765" t="str">
        <f>IF($H31="  ","",IF(OR($AI31="Existing Gas",$AI31="Existing Oil",$AI31="Existing Propane",$AI31="Baseline New Construction"),0,IF(OR('HVAC Worksheet'!AA41="",'HVAC Worksheet'!AA41=0),IF(LEFT(H31,3)="Pac",(INDEX(References!$BN$4:$BN$44,MATCH(H31,References!$AY$4:$AY$44,0)))-INDEX(References!$BO$4:$BO$44,MATCH(H31,References!$AY$4:$AY$44,0))*I31*12000/1000,INDEX(References!$BO$4:$BO$44,MATCH(H31,References!$AY$4:$AY$44,0))),'HVAC Worksheet'!AA41)))</f>
        <v/>
      </c>
      <c r="AN31" s="781" t="str">
        <f>IF($H31="  ","",IF(OR($AI31="Existing Gas",$AI31="Existing Oil",$AI31="Existing Propane",$AI31="Baseline New Construction"),IF(OR('HVAC Worksheet'!AB41="",'HVAC Worksheet'!AB41=0),INDEX(References!$E$136:$E$140,MATCH(AI31,References!$D$136:$D$140,0)),'HVAC Worksheet'!AB41),0))</f>
        <v/>
      </c>
      <c r="AO31" s="766">
        <f>IF(OR(LEFT(AI31,8)="Existing",RIGHT(AI31,16)="New Construction"),References!$B$33,1)</f>
        <v>1</v>
      </c>
      <c r="AP31" s="525">
        <f>References!$B$37</f>
        <v>15</v>
      </c>
      <c r="AQ31" s="212" t="e">
        <f>IF(AND(AK31&gt;0,L31&gt;0),ROUND((I31*12)*((1/AK31)-(1/L31)),References!$B$40),0)</f>
        <v>#VALUE!</v>
      </c>
      <c r="AR31" s="308" t="e">
        <f>IF(AND(AK31&gt;0,L31&gt;0),ROUND((J31*I31*12)*((1/AK31)-(1/L31)),References!$B$40),0)</f>
        <v>#VALUE!</v>
      </c>
      <c r="AS31" s="308" t="e">
        <f>IF(AND(AJ31=0,AK31=0),0,IF(AJ31&gt;0,ROUND((I31*12)*((1/AJ31)-(1/K31))*AA31,References!$B$43),ROUND((I31*12)*((1/AK31)-(1/L31))*AA31,References!$B$43)))</f>
        <v>#VALUE!</v>
      </c>
      <c r="AT31" s="308" t="e">
        <f>AS31*References!$B$29</f>
        <v>#VALUE!</v>
      </c>
      <c r="AU31" s="308" t="e">
        <f t="shared" si="11"/>
        <v>#VALUE!</v>
      </c>
      <c r="AV31" s="212">
        <f>IF(AND(N31&gt;0,AM31&gt;0,N31&lt;&gt;""),ROUND((I31*12)*((1/(AM31))-(1/(N31))),References!$B$40),IF(AND(M31&gt;0,AL31&gt;0,M31&lt;&gt;""),ROUND((I31*12)*(1/(AL31/3.412))-(1/(M31/3.412)),References!$B$40),IF(AND(N31&gt;0,N31&lt;&gt;""),ROUND((I31*12)*-(1/(N31/3.412)),References!$B$40),IF(AND(M31&gt;0,M31&lt;&gt;""),ROUND((I31*12)*-(1/(M31/3.412)),References!$B$40),0))))</f>
        <v>0</v>
      </c>
      <c r="AW31" s="308" t="e">
        <f t="shared" si="12"/>
        <v>#VALUE!</v>
      </c>
      <c r="AX31" s="308" t="e">
        <f>ROUND(AU31*AN31*AP31,References!$B$43)</f>
        <v>#VALUE!</v>
      </c>
      <c r="AY31" s="308" t="e">
        <f>IF(AND(AL31&gt;0,M31&gt;0),ROUND((I31*12)*((1/AL31)-(1/M31))*AB31*AO31,References!$B$43),IF(AND(AM31&gt;0,N31&gt;0),ROUND((I31*12)*((1/AM31)-(1/N31))*AB31*AO31/3.413,References!$B$43),0))</f>
        <v>#VALUE!</v>
      </c>
      <c r="AZ31" s="767">
        <f>IF(AND(OR($AI31="Existing Gas",$AI31="Existing Oil",$AI31="Existing Propane",$AI31="Baseline New Construction"),RIGHT(C31,10)="Heat Pumps"),IF(AND(M31&gt;0,M31&lt;&gt;""),ROUND(((I31*12)*((1/M31))*AB31*AO31)-AX31,References!$B$43),IF(AND(N31&gt;0,N31&lt;&gt;""),ROUND(((I31*12)*((1/N31))*AB31*AO31/3.412)-AX31,References!$B$43),0)),0)</f>
        <v>0</v>
      </c>
      <c r="BA31" s="308" t="e">
        <f>(AY31*References!$B$29)-(AZ31*References!$B$29)</f>
        <v>#VALUE!</v>
      </c>
      <c r="BB31" s="308" t="e">
        <f t="shared" si="13"/>
        <v>#VALUE!</v>
      </c>
      <c r="BC31" s="308" t="e">
        <f t="shared" si="14"/>
        <v>#VALUE!</v>
      </c>
      <c r="BD31" s="343" t="e">
        <f t="shared" si="15"/>
        <v>#VALUE!</v>
      </c>
      <c r="BE31" s="343" t="e">
        <f t="shared" si="16"/>
        <v>#VALUE!</v>
      </c>
      <c r="BF31" s="343" t="e">
        <f t="shared" si="17"/>
        <v>#VALUE!</v>
      </c>
      <c r="BG31" s="343" t="e">
        <f t="shared" si="18"/>
        <v>#VALUE!</v>
      </c>
      <c r="BH31" s="343" t="e">
        <f t="shared" si="19"/>
        <v>#VALUE!</v>
      </c>
      <c r="BI31" s="16" t="e">
        <f t="shared" si="20"/>
        <v>#VALUE!</v>
      </c>
      <c r="BJ31" s="343" t="e">
        <f t="shared" si="21"/>
        <v>#VALUE!</v>
      </c>
      <c r="BK31" s="343" t="e">
        <f t="shared" si="22"/>
        <v>#VALUE!</v>
      </c>
      <c r="BL31" s="63">
        <f t="shared" si="23"/>
        <v>0</v>
      </c>
      <c r="BM31" s="526">
        <f t="shared" si="24"/>
        <v>0</v>
      </c>
      <c r="BN31" s="10">
        <v>25</v>
      </c>
      <c r="BO31" s="561" t="str">
        <f t="shared" si="25"/>
        <v xml:space="preserve">  </v>
      </c>
      <c r="BP31" s="62" t="str">
        <f t="shared" si="26"/>
        <v/>
      </c>
      <c r="BQ31" s="89" t="str">
        <f t="shared" si="27"/>
        <v xml:space="preserve">   </v>
      </c>
      <c r="BR31" s="89" t="str">
        <f>IF(Y31="FAIL","",INDEX(References!$AH$4:$AH$90,MATCH(Calculations!BQ31,References!$AG$4:$AG$90,0)))</f>
        <v/>
      </c>
      <c r="BS31" s="88" t="e">
        <f>BD31*References!$B$21+IF(BE31&lt;0,0,BE31*References!$B$25)</f>
        <v>#VALUE!</v>
      </c>
      <c r="BT31" s="768" t="e">
        <f>IF(BE31&gt;0,0,BE31*References!$B$25)+AU31*INDEX(References!$F$136:$F$142,MATCH(AI31,References!$D$136:$D$142,0))</f>
        <v>#VALUE!</v>
      </c>
      <c r="BU31" s="88">
        <f>IF(BR31="",0,ROUND(INDEX(References!$E$118:$E$132,MATCH('HVAC Worksheet'!B41,References!$D$118:$D$132,0))*AQ31*J31,References!$B$40))</f>
        <v>0</v>
      </c>
    </row>
    <row r="35" spans="2:80" x14ac:dyDescent="0.3">
      <c r="B35" s="44" t="s">
        <v>1386</v>
      </c>
    </row>
    <row r="37" spans="2:80" ht="39" x14ac:dyDescent="0.3">
      <c r="C37" s="240"/>
      <c r="D37" s="219"/>
      <c r="E37" s="512"/>
      <c r="F37" s="1159" t="s">
        <v>178</v>
      </c>
      <c r="G37" s="1159" t="s">
        <v>1619</v>
      </c>
      <c r="H37" s="219"/>
      <c r="I37" s="508"/>
      <c r="J37" s="240" t="s">
        <v>762</v>
      </c>
      <c r="K37" s="220" t="s">
        <v>763</v>
      </c>
      <c r="L37" s="549" t="s">
        <v>46</v>
      </c>
      <c r="M37" s="550"/>
      <c r="N37" s="550"/>
      <c r="O37" s="550"/>
      <c r="P37" s="549" t="s">
        <v>1306</v>
      </c>
      <c r="Q37" s="550"/>
      <c r="R37" s="550"/>
      <c r="S37" s="550"/>
      <c r="T37" s="549" t="s">
        <v>1346</v>
      </c>
      <c r="U37" s="550"/>
      <c r="V37" s="550"/>
      <c r="W37" s="550"/>
      <c r="X37" s="549" t="s">
        <v>1363</v>
      </c>
      <c r="Y37" s="550"/>
      <c r="Z37" s="551"/>
      <c r="AA37" s="549" t="s">
        <v>1401</v>
      </c>
      <c r="AB37" s="550"/>
      <c r="AC37" s="550"/>
      <c r="AD37" s="550"/>
      <c r="AE37" s="551"/>
      <c r="AF37" s="523"/>
      <c r="AG37" s="10"/>
      <c r="AH37" s="230"/>
      <c r="AI37" s="1149" t="s">
        <v>1312</v>
      </c>
      <c r="AJ37" s="1150"/>
      <c r="AK37" s="1167" t="s">
        <v>1307</v>
      </c>
      <c r="AL37" s="1168"/>
      <c r="AM37" s="1168"/>
      <c r="AN37" s="1168"/>
      <c r="AO37" s="1169"/>
      <c r="AP37" s="549"/>
      <c r="AQ37" s="553" t="s">
        <v>1820</v>
      </c>
      <c r="AR37" s="553" t="s">
        <v>1820</v>
      </c>
      <c r="AS37" s="553" t="s">
        <v>1820</v>
      </c>
      <c r="AT37" s="553" t="s">
        <v>1820</v>
      </c>
      <c r="AU37" s="553" t="s">
        <v>1820</v>
      </c>
      <c r="AV37" s="553" t="s">
        <v>1820</v>
      </c>
      <c r="AW37" s="553" t="s">
        <v>1820</v>
      </c>
      <c r="AX37" s="553" t="s">
        <v>1820</v>
      </c>
      <c r="AY37" s="553" t="s">
        <v>27</v>
      </c>
      <c r="AZ37" s="553" t="s">
        <v>100</v>
      </c>
      <c r="BA37" s="553" t="s">
        <v>100</v>
      </c>
      <c r="BB37" s="552" t="s">
        <v>762</v>
      </c>
      <c r="BC37" s="553" t="s">
        <v>763</v>
      </c>
      <c r="BD37" s="553" t="s">
        <v>1335</v>
      </c>
      <c r="BE37" s="553" t="s">
        <v>1335</v>
      </c>
      <c r="BF37" s="292" t="s">
        <v>1336</v>
      </c>
      <c r="BG37" s="553" t="s">
        <v>1332</v>
      </c>
      <c r="BH37" s="553" t="s">
        <v>1333</v>
      </c>
      <c r="BI37" s="292" t="s">
        <v>1337</v>
      </c>
      <c r="BJ37" s="292" t="s">
        <v>1338</v>
      </c>
      <c r="BK37" s="553" t="s">
        <v>761</v>
      </c>
      <c r="BL37" s="553" t="s">
        <v>762</v>
      </c>
      <c r="BM37" s="553" t="s">
        <v>763</v>
      </c>
      <c r="BN37" s="553" t="s">
        <v>759</v>
      </c>
      <c r="BO37" s="553" t="s">
        <v>762</v>
      </c>
      <c r="BP37" s="553" t="s">
        <v>763</v>
      </c>
      <c r="BQ37" s="231" t="s">
        <v>759</v>
      </c>
      <c r="BR37" s="553" t="s">
        <v>1340</v>
      </c>
      <c r="BS37" s="550"/>
      <c r="BT37" s="231"/>
      <c r="BU37" s="559" t="s">
        <v>1557</v>
      </c>
      <c r="BX37" s="219"/>
      <c r="BY37" s="219"/>
      <c r="BZ37" s="219" t="s">
        <v>1668</v>
      </c>
      <c r="CA37" s="219" t="s">
        <v>1669</v>
      </c>
      <c r="CB37" s="219" t="s">
        <v>1231</v>
      </c>
    </row>
    <row r="38" spans="2:80" x14ac:dyDescent="0.3">
      <c r="C38" s="221" t="s">
        <v>184</v>
      </c>
      <c r="D38" s="222" t="s">
        <v>24</v>
      </c>
      <c r="E38" s="238" t="s">
        <v>10</v>
      </c>
      <c r="F38" s="1160"/>
      <c r="G38" s="1160"/>
      <c r="H38" s="222" t="s">
        <v>1620</v>
      </c>
      <c r="I38" s="509" t="s">
        <v>32</v>
      </c>
      <c r="J38" s="221" t="s">
        <v>1582</v>
      </c>
      <c r="K38" s="223" t="s">
        <v>1582</v>
      </c>
      <c r="L38" s="221" t="s">
        <v>26</v>
      </c>
      <c r="M38" s="222" t="s">
        <v>27</v>
      </c>
      <c r="N38" s="222" t="s">
        <v>101</v>
      </c>
      <c r="O38" s="222" t="s">
        <v>100</v>
      </c>
      <c r="P38" s="221" t="s">
        <v>26</v>
      </c>
      <c r="Q38" s="222" t="s">
        <v>27</v>
      </c>
      <c r="R38" s="222" t="s">
        <v>101</v>
      </c>
      <c r="S38" s="222" t="s">
        <v>100</v>
      </c>
      <c r="T38" s="221" t="s">
        <v>26</v>
      </c>
      <c r="U38" s="222" t="s">
        <v>27</v>
      </c>
      <c r="V38" s="222" t="s">
        <v>101</v>
      </c>
      <c r="W38" s="222" t="s">
        <v>100</v>
      </c>
      <c r="X38" s="221" t="s">
        <v>1364</v>
      </c>
      <c r="Y38" s="222" t="s">
        <v>67</v>
      </c>
      <c r="Z38" s="223" t="s">
        <v>145</v>
      </c>
      <c r="AA38" s="221" t="s">
        <v>1395</v>
      </c>
      <c r="AB38" s="222" t="s">
        <v>1396</v>
      </c>
      <c r="AC38" s="222" t="s">
        <v>1402</v>
      </c>
      <c r="AD38" s="222" t="s">
        <v>1403</v>
      </c>
      <c r="AE38" s="223" t="s">
        <v>1346</v>
      </c>
      <c r="AF38" s="509" t="s">
        <v>236</v>
      </c>
      <c r="AG38" s="10"/>
      <c r="AH38" s="232" t="s">
        <v>32</v>
      </c>
      <c r="AI38" s="232" t="s">
        <v>1310</v>
      </c>
      <c r="AJ38" s="518" t="s">
        <v>1311</v>
      </c>
      <c r="AK38" s="221" t="s">
        <v>26</v>
      </c>
      <c r="AL38" s="222" t="s">
        <v>27</v>
      </c>
      <c r="AM38" s="222" t="s">
        <v>101</v>
      </c>
      <c r="AN38" s="222" t="s">
        <v>100</v>
      </c>
      <c r="AO38" s="222" t="s">
        <v>1308</v>
      </c>
      <c r="AP38" s="221" t="s">
        <v>1819</v>
      </c>
      <c r="AQ38" s="222" t="s">
        <v>1821</v>
      </c>
      <c r="AR38" s="222" t="s">
        <v>1831</v>
      </c>
      <c r="AS38" s="222" t="s">
        <v>1832</v>
      </c>
      <c r="AT38" s="222" t="s">
        <v>1833</v>
      </c>
      <c r="AU38" s="222" t="s">
        <v>1834</v>
      </c>
      <c r="AV38" s="222" t="s">
        <v>1835</v>
      </c>
      <c r="AW38" s="222" t="s">
        <v>1836</v>
      </c>
      <c r="AX38" s="222" t="s">
        <v>1848</v>
      </c>
      <c r="AY38" s="222" t="s">
        <v>1843</v>
      </c>
      <c r="AZ38" s="222" t="s">
        <v>1843</v>
      </c>
      <c r="BA38" s="222" t="s">
        <v>1844</v>
      </c>
      <c r="BB38" s="237" t="s">
        <v>764</v>
      </c>
      <c r="BC38" s="238" t="s">
        <v>764</v>
      </c>
      <c r="BD38" s="238" t="s">
        <v>760</v>
      </c>
      <c r="BE38" s="238" t="s">
        <v>1334</v>
      </c>
      <c r="BF38" s="238" t="s">
        <v>1324</v>
      </c>
      <c r="BG38" s="238" t="s">
        <v>760</v>
      </c>
      <c r="BH38" s="238" t="s">
        <v>760</v>
      </c>
      <c r="BI38" s="238" t="s">
        <v>1324</v>
      </c>
      <c r="BJ38" s="238" t="s">
        <v>1324</v>
      </c>
      <c r="BK38" s="238" t="s">
        <v>760</v>
      </c>
      <c r="BL38" s="238" t="s">
        <v>230</v>
      </c>
      <c r="BM38" s="238" t="s">
        <v>230</v>
      </c>
      <c r="BN38" s="238" t="s">
        <v>230</v>
      </c>
      <c r="BO38" s="238" t="s">
        <v>1339</v>
      </c>
      <c r="BP38" s="238" t="s">
        <v>1339</v>
      </c>
      <c r="BQ38" s="239" t="s">
        <v>1339</v>
      </c>
      <c r="BR38" s="222" t="s">
        <v>1341</v>
      </c>
      <c r="BS38" s="222" t="s">
        <v>38</v>
      </c>
      <c r="BT38" s="223" t="s">
        <v>36</v>
      </c>
      <c r="BU38" s="560" t="s">
        <v>1558</v>
      </c>
      <c r="BX38" s="222" t="s">
        <v>32</v>
      </c>
      <c r="BY38" s="222" t="s">
        <v>328</v>
      </c>
      <c r="BZ38" s="222" t="s">
        <v>1670</v>
      </c>
      <c r="CA38" s="222" t="s">
        <v>1670</v>
      </c>
      <c r="CB38" s="222" t="s">
        <v>1670</v>
      </c>
    </row>
    <row r="39" spans="2:80" x14ac:dyDescent="0.3">
      <c r="B39" s="11" t="s">
        <v>66</v>
      </c>
      <c r="C39" s="234"/>
      <c r="D39" s="235"/>
      <c r="E39" s="235"/>
      <c r="F39" s="235"/>
      <c r="G39" s="235"/>
      <c r="H39" s="225"/>
      <c r="I39" s="510"/>
      <c r="J39" s="234"/>
      <c r="K39" s="236"/>
      <c r="L39" s="234"/>
      <c r="M39" s="235"/>
      <c r="N39" s="235"/>
      <c r="O39" s="235"/>
      <c r="P39" s="234"/>
      <c r="Q39" s="235"/>
      <c r="R39" s="235"/>
      <c r="S39" s="235"/>
      <c r="T39" s="234"/>
      <c r="U39" s="235"/>
      <c r="V39" s="235"/>
      <c r="W39" s="235"/>
      <c r="X39" s="234"/>
      <c r="Y39" s="235"/>
      <c r="Z39" s="236"/>
      <c r="AA39" s="234"/>
      <c r="AB39" s="235"/>
      <c r="AC39" s="235"/>
      <c r="AD39" s="235"/>
      <c r="AE39" s="236"/>
      <c r="AF39" s="510"/>
      <c r="AG39" s="12" t="s">
        <v>66</v>
      </c>
      <c r="AH39" s="233"/>
      <c r="AI39" s="233"/>
      <c r="AJ39" s="519"/>
      <c r="AK39" s="234"/>
      <c r="AL39" s="235"/>
      <c r="AM39" s="235"/>
      <c r="AN39" s="235"/>
      <c r="AO39" s="235"/>
      <c r="AP39" s="234"/>
      <c r="AQ39" s="235"/>
      <c r="AR39" s="235"/>
      <c r="AS39" s="235"/>
      <c r="AT39" s="235"/>
      <c r="AU39" s="235"/>
      <c r="AV39" s="235"/>
      <c r="AW39" s="235"/>
      <c r="AX39" s="235"/>
      <c r="AY39" s="235"/>
      <c r="AZ39" s="235"/>
      <c r="BA39" s="235"/>
      <c r="BB39" s="234"/>
      <c r="BC39" s="229"/>
      <c r="BD39" s="229"/>
      <c r="BE39" s="229"/>
      <c r="BF39" s="229"/>
      <c r="BG39" s="229"/>
      <c r="BH39" s="229"/>
      <c r="BI39" s="229"/>
      <c r="BJ39" s="229"/>
      <c r="BK39" s="229"/>
      <c r="BL39" s="226"/>
      <c r="BM39" s="226"/>
      <c r="BN39" s="226"/>
      <c r="BO39" s="226"/>
      <c r="BP39" s="226"/>
      <c r="BQ39" s="228"/>
      <c r="BR39" s="226"/>
      <c r="BS39" s="235"/>
      <c r="BT39" s="236"/>
      <c r="BU39" s="236"/>
      <c r="BX39" s="225"/>
      <c r="BY39" s="225"/>
      <c r="BZ39" s="225"/>
      <c r="CA39" s="225"/>
      <c r="CB39" s="225"/>
    </row>
    <row r="40" spans="2:80" x14ac:dyDescent="0.3">
      <c r="B40" s="11">
        <v>1</v>
      </c>
      <c r="C40" s="15" t="str">
        <f>IF('Whole Building ccASHP Worksheet'!B20="","",'Whole Building ccASHP Worksheet'!B20)</f>
        <v/>
      </c>
      <c r="D40" s="13" t="str">
        <f>IF('Whole Building ccASHP Worksheet'!C20="","",'Whole Building ccASHP Worksheet'!C20)</f>
        <v/>
      </c>
      <c r="E40" s="13" t="str">
        <f>IF('Whole Building ccASHP Worksheet'!E20="","",'Whole Building ccASHP Worksheet'!E20)</f>
        <v/>
      </c>
      <c r="F40" s="13" t="str">
        <f>IF('Whole Building ccASHP Worksheet'!X20="","",'Whole Building ccASHP Worksheet'!X20)</f>
        <v/>
      </c>
      <c r="G40" s="13" t="str">
        <f>IF('Whole Building ccASHP Worksheet'!Y20="","",'Whole Building ccASHP Worksheet'!Y20)</f>
        <v/>
      </c>
      <c r="H40" s="565" t="str">
        <f>IF(F40&amp;G40="NoneNone"," New Construction",IF(AND(AND(LEFT(F40,5)&lt;&gt;"Split",LEFT(F40,6)&lt;&gt;"Single"),G40="Oil")," Existing Oil No CAC"," All Other"))</f>
        <v xml:space="preserve"> All Other</v>
      </c>
      <c r="I40" s="511" t="str">
        <f t="shared" ref="I40:I63" si="28">C40&amp;" "&amp;D40&amp;" "&amp;E40</f>
        <v xml:space="preserve">  </v>
      </c>
      <c r="J40" s="15" t="str">
        <f>IF('Whole Building ccASHP Worksheet'!I20="","",'Whole Building ccASHP Worksheet'!I20)</f>
        <v/>
      </c>
      <c r="K40" s="14" t="str">
        <f>IF('Whole Building ccASHP Worksheet'!J20="","",'Whole Building ccASHP Worksheet'!J20)</f>
        <v/>
      </c>
      <c r="L40" s="15" t="str">
        <f>IF('Whole Building ccASHP Worksheet'!K20="","",'Whole Building ccASHP Worksheet'!K20)</f>
        <v/>
      </c>
      <c r="M40" s="13" t="str">
        <f>IF('Whole Building ccASHP Worksheet'!L20="","",'Whole Building ccASHP Worksheet'!L20)</f>
        <v/>
      </c>
      <c r="N40" s="13" t="str">
        <f>IF('Whole Building ccASHP Worksheet'!M20="","",'Whole Building ccASHP Worksheet'!M20)</f>
        <v/>
      </c>
      <c r="O40" s="13" t="str">
        <f>IF('Whole Building ccASHP Worksheet'!N20="","",'Whole Building ccASHP Worksheet'!N20)</f>
        <v/>
      </c>
      <c r="P40" s="15" t="str">
        <f t="shared" ref="P40:P63" si="29">IF(I40="  ","",VLOOKUP(I40,HVAC_T1T2ReferenceTable,2,FALSE))</f>
        <v/>
      </c>
      <c r="Q40" s="13" t="str">
        <f t="shared" ref="Q40:Q64" si="30">IF($I40="  ","",VLOOKUP($I40,HVAC_T1T2ReferenceTable,3,FALSE))</f>
        <v/>
      </c>
      <c r="R40" s="13" t="str">
        <f t="shared" ref="R40:R64" si="31">IF($I40="  ","",VLOOKUP($I40,HVAC_T1T2ReferenceTable,4,FALSE))</f>
        <v/>
      </c>
      <c r="S40" s="13" t="str">
        <f t="shared" ref="S40:S64" si="32">IF($I40="  ","",VLOOKUP($I40,HVAC_T1T2ReferenceTable,5,FALSE))</f>
        <v/>
      </c>
      <c r="T40" s="15" t="str">
        <f>IF(AND(L40="",P40&lt;&gt;0),"",IF(L40&gt;=P40,"PASS","FAIL"))</f>
        <v/>
      </c>
      <c r="U40" s="13" t="str">
        <f>IF(AND(M40="",Q40&lt;&gt;0),"",IF(M40&gt;=Q40,"PASS","FAIL"))</f>
        <v/>
      </c>
      <c r="V40" s="13" t="str">
        <f>IF(AND(N40="",R40&lt;&gt;0),"",IF(N40&gt;=R40,"PASS","FAIL"))</f>
        <v/>
      </c>
      <c r="W40" s="13" t="str">
        <f>IF(AND(O40="",S40&lt;&gt;0),"",IF(O40&gt;=S40,"PASS","FAIL"))</f>
        <v/>
      </c>
      <c r="X40" s="15" t="str">
        <f>'Whole Building ccASHP Worksheet'!BuildingType</f>
        <v>Select …</v>
      </c>
      <c r="Y40" s="530" t="e">
        <f>IF(OR(X40="",X40="… please select …"),0,INDEX(References!$H$22:$H$43,MATCH(X40,References!$G$22:$G$43,0)))</f>
        <v>#N/A</v>
      </c>
      <c r="Z40" s="61" t="e">
        <f>IF(OR(X40="",X40="… please select …"),0,INDEX(References!$I$22:$I$43,MATCH(X40,References!$G$22:$G$43,0)))</f>
        <v>#N/A</v>
      </c>
      <c r="AA40" s="15" t="str">
        <f>IF(OR('Whole Building ccASHP Worksheet'!P20="",'Whole Building ccASHP Worksheet'!P20=0),"",'Whole Building ccASHP Worksheet'!P20)</f>
        <v/>
      </c>
      <c r="AB40" s="13" t="str">
        <f>IF(OR('Whole Building ccASHP Worksheet'!Q20="",'Whole Building ccASHP Worksheet'!Q20=0),"",'Whole Building ccASHP Worksheet'!Q20)</f>
        <v/>
      </c>
      <c r="AC40" s="530" t="str">
        <f>IF(AB40="","",AB40*90%)</f>
        <v/>
      </c>
      <c r="AD40" s="530" t="str">
        <f>IF(AB40="","",AB40*120%)</f>
        <v/>
      </c>
      <c r="AE40" s="61" t="str">
        <f>IF(OR(AA40="",AB40="",J40="",K40=""),"",IF(AND(K40&gt;=AC40,K40&lt;=AD40),"PASS","FAIL"))</f>
        <v/>
      </c>
      <c r="AF40" s="511" t="str">
        <f>IF(AND(T40="PASS",U40="PASS",V40="PASS",W40="PASS",AE40="PASS"),"PASS","FAIL")</f>
        <v>FAIL</v>
      </c>
      <c r="AG40" s="11">
        <v>1</v>
      </c>
      <c r="AH40" s="21" t="str">
        <f>C40&amp;" "&amp;D40&amp;" "&amp;F40</f>
        <v xml:space="preserve">  </v>
      </c>
      <c r="AI40" s="21" t="str">
        <f>IF(OR('Whole Building ccASHP Worksheet'!X20="",'Whole Building ccASHP Worksheet'!X20="None"),IF($I40="  ","","New Construction"),"Existing "&amp;'Whole Building ccASHP Worksheet'!X20)</f>
        <v/>
      </c>
      <c r="AJ40" s="21" t="str">
        <f>IF(OR('Whole Building ccASHP Worksheet'!Y20="",'Whole Building ccASHP Worksheet'!Y20="None"),IF($I40="  ","","New Construction"),"Existing "&amp;'Whole Building ccASHP Worksheet'!Y20)</f>
        <v/>
      </c>
      <c r="AK40" s="342" t="str">
        <f>_xlfn.IFNA(IF(OR('Whole Building ccASHP Worksheet'!AB20=0,'Whole Building ccASHP Worksheet'!AB20=""),IF(LEFT(I40,3)="pac",0,INDEX(References!$BL$5:$BL$45,MATCH(I40,References!$AY$5:$AY$45,0))),'Whole Building ccASHP Worksheet'!AB20),"")</f>
        <v/>
      </c>
      <c r="AL40" s="343" t="str">
        <f>IF(I40="  ","",IF('Whole Building ccASHP Worksheet'!AC20="",IF(LEFT(I40,3)="Pac",(INDEX(References!$BM$4:$BM$44,MATCH(I40,References!$AY$4:$AY$44,0)))-(0.3*J40*12000/1000),INDEX(References!$BM$4:$BM$44,MATCH(I40,References!$AY$4:$AY$44,0))),'Whole Building ccASHP Worksheet'!AC20))</f>
        <v/>
      </c>
      <c r="AM40" s="343" t="str">
        <f>IF(I40="  ","",IF(OR($AJ40="Existing Gas",$AJ40="Existing Oil",$AJ40="Existing Propane"),0,IF(AND('Whole Building ccASHP Worksheet'!AD20=0,'Whole Building ccASHP Worksheet'!AE20=0),IF(LEFT(I40,3)="pac",0,INDEX(References!$BN$5:$BN$44,MATCH(I40,References!$AY$5:$AY$44,0))),IF(AND('Whole Building ccASHP Worksheet'!AD20=0,'Whole Building ccASHP Worksheet'!AE20&gt;0),'Whole Building ccASHP Worksheet'!AE20*References!$B$49,'Whole Building ccASHP Worksheet'!AD20))))</f>
        <v/>
      </c>
      <c r="AN40" s="343" t="str">
        <f>IF($I40="  ","",IF(OR($AJ40="Existing Gas",$AJ40="Existing Oil",$AJ40="Existing Propane"),0,IF(OR('Whole Building ccASHP Worksheet'!AE20="",'Whole Building ccASHP Worksheet'!AE20=0),IF(LEFT(I40,3)="Pac",(INDEX(References!$BN$5:$BN$44,MATCH(I40,References!$AY$5:$AY$44,0)))-INDEX(References!$BO$5:$BO$44,MATCH(I40,References!$AY$5:$AY$44,0))*J40*12000/1000,INDEX(References!$BO$5:$BO$44,MATCH(I40,References!$AY$5:$AY$44,0))),'Whole Building ccASHP Worksheet'!AE20)))</f>
        <v/>
      </c>
      <c r="AO40" s="521" t="str">
        <f>IF($I40="  ","",IF(OR($AJ40="Existing Gas",$AJ40="Existing Oil",$AJ40="Existing Propane",$AJ40="New Construction"),IF(OR('Whole Building ccASHP Worksheet'!AF20="",'Whole Building ccASHP Worksheet'!AF20=0),INDEX(References!$E$136:$E$139,MATCH(AJ40,References!$D$136:$D$139,0)),'Whole Building ccASHP Worksheet'!AF20),0))</f>
        <v/>
      </c>
      <c r="AP40" s="349">
        <f>IF(OR('Whole Building ccASHP Worksheet'!$B$15="Integrated/Modulating Control",'Whole Building ccASHP Worksheet'!$B$15="No Fossil Fuel Heating"),IF(K40&gt;=AB40,1,0.9),0.9)</f>
        <v>0.9</v>
      </c>
      <c r="AQ40" s="521" t="str">
        <f>IF(C40="","",INDEX(References!$M$56:$M$66,MATCH(C40&amp;" "&amp;'Whole Building ccASHP Worksheet'!$B$15&amp;" "&amp;AP40,References!$L$56:$L$66,0)))</f>
        <v/>
      </c>
      <c r="AR40" s="521" t="str">
        <f>IF(C40="","",INDEX(References!$N$56:$N$66,MATCH(C40&amp;" "&amp;'Whole Building ccASHP Worksheet'!$B$15&amp;" "&amp;AP40,References!$L$56:$L$66,0)))</f>
        <v/>
      </c>
      <c r="AS40" s="521" t="str">
        <f>IF(C40="","",INDEX(References!$O$56:$O$66,MATCH(C40&amp;" "&amp;'Whole Building ccASHP Worksheet'!$B$15&amp;" "&amp;AP40,References!$L$56:$L$66,0)))</f>
        <v/>
      </c>
      <c r="AT40" s="521" t="str">
        <f>IF(C40="","",INDEX(References!$P$56:$P$66,MATCH(C40&amp;" "&amp;'Whole Building ccASHP Worksheet'!$B$15&amp;" "&amp;AP40,References!$L$56:$L$66,0)))</f>
        <v/>
      </c>
      <c r="AU40" s="521" t="str">
        <f>IF(C40="","",INDEX(References!$Q$56:$Q$66,MATCH(C40&amp;" "&amp;'Whole Building ccASHP Worksheet'!$B$15&amp;" "&amp;AP40,References!$L$56:$L$66,0)))</f>
        <v/>
      </c>
      <c r="AV40" s="521" t="str">
        <f>IF(C40="","",INDEX(References!$R$56:$R$66,MATCH(C40&amp;" "&amp;'Whole Building ccASHP Worksheet'!$B$15&amp;" "&amp;AP40,References!$L$56:$L$66,0)))</f>
        <v/>
      </c>
      <c r="AW40" s="521" t="str">
        <f>IF(C40="","",INDEX(References!$S$56:$S$66,MATCH(C40&amp;" "&amp;'Whole Building ccASHP Worksheet'!$B$15&amp;" "&amp;AP40,References!$L$56:$L$66,0)))</f>
        <v/>
      </c>
      <c r="AX40" s="521" t="str">
        <f>IF(AM40="","",IF(AM40&lt;8.5,References!$M$69,References!$M$70))</f>
        <v/>
      </c>
      <c r="AY40" s="521" t="str">
        <f>IF(AQ40="","",AT40+AU40*L40)</f>
        <v/>
      </c>
      <c r="AZ40" s="521" t="str">
        <f>IF(AQ40="","",AR40+AS40*N40/3.412)</f>
        <v/>
      </c>
      <c r="BA40" s="521" t="str">
        <f>IF(AQ40="","",IF(AM40=0,0,AM40*AX40/3.412))</f>
        <v/>
      </c>
      <c r="BB40" s="212" t="str">
        <f>IF(AF40="FAIL","",IF(AND(AL40&gt;0,M40&gt;0),ROUND((AA40/1000)*((1/AL40)-(1/M40)),References!$B$40),0))</f>
        <v/>
      </c>
      <c r="BC40" s="308" t="str">
        <f>IF(AF40="FAIL","",IF(AND(AM40&gt;0,N40&gt;0),ROUND((AB40/1000)*((1/(AM40/3.412))-(1/(N40/3.412))),References!$B$40),ROUND((AB40/1000)*-(1/(N40/3.412)),References!$B$40)))</f>
        <v/>
      </c>
      <c r="BD40" s="308" t="str">
        <f>IF(AF40="FAIL","",IF(AND(AK40=0,AL40=0),0,IF(AK40&gt;0,ROUND((AA40/1000)*((1/AK40)-(1/AY40))*Y40*AV40,References!$B$43),ROUND((AA40/1000)*((1/AL40)-(1/AY40))*Y40*AV40,References!$B$43))))</f>
        <v/>
      </c>
      <c r="BE40" s="308" t="str">
        <f>IF(BD40="","",BD40*References!$B$29)</f>
        <v/>
      </c>
      <c r="BF40" s="308" t="str">
        <f>IF(AF40="FAIL","",IF(AO40=0,0,(AB40/AO40)*Z40*AW40/1000000))</f>
        <v/>
      </c>
      <c r="BG40" s="308" t="str">
        <f>IF(AF40="FAIL","",IF(AND(AZ40&gt;0,BA40&gt;0),ROUND((AB40/1000)*((1/BA40)-(1/AZ40))*Z40*AW40/3.413,References!$B$43),0))</f>
        <v/>
      </c>
      <c r="BH40" s="308" t="str">
        <f>IF(AF40="FAIL","",IF(AND(OR($AJ40="Existing Gas",$AJ40="Existing Oil",$AJ40="Existing Propane"),RIGHT(C40,10)="Heat Pumps"),IF(AND(AZ40&gt;0,AZ40&lt;&gt;""),ROUND(((AB40/1000)*((1/AZ40))*Z40*AW40/3.412),References!$B$43),0),0))</f>
        <v/>
      </c>
      <c r="BI40" s="308" t="str">
        <f>IF(AF40="FAIL","",(BG40*References!$B$29)-(BH40*References!$B$29))</f>
        <v/>
      </c>
      <c r="BJ40" s="308" t="str">
        <f>IF(AF40="FAIL","",BI40+BF40)</f>
        <v/>
      </c>
      <c r="BK40" s="308" t="str">
        <f>IF(AF40="FAIL","",BD40+BG40-BH40)</f>
        <v/>
      </c>
      <c r="BL40" s="343" t="str">
        <f>BD40</f>
        <v/>
      </c>
      <c r="BM40" s="343" t="str">
        <f>IF(OR(BG40="",BH40=""),"",(BG40-BH40))</f>
        <v/>
      </c>
      <c r="BN40" s="343" t="str">
        <f>IF(OR(BL40="",BM40=""),"",BL40+BM40)</f>
        <v/>
      </c>
      <c r="BO40" s="649" t="str">
        <f>BE40</f>
        <v/>
      </c>
      <c r="BP40" s="649" t="str">
        <f>BJ40</f>
        <v/>
      </c>
      <c r="BQ40" s="650" t="str">
        <f>IF(AF40="FAIL","",BO40+BP40)</f>
        <v/>
      </c>
      <c r="BR40" s="343" t="str">
        <f>IF(AF40="FAIL","",BD40+BG40)</f>
        <v/>
      </c>
      <c r="BS40" s="558">
        <f>IF(AF40="FAIL",0,VLOOKUP(I40,T1T2_ReferenceTable,IF(H40=" New Construction",11,IF(H40=" All Other",13,12)),FALSE))</f>
        <v>0</v>
      </c>
      <c r="BT40" s="566" t="e">
        <f>BS40*(K40/12000)</f>
        <v>#VALUE!</v>
      </c>
      <c r="BU40" s="526">
        <f>IF(AND(AF40="PASS",BS40&lt;&gt;0),0,0)</f>
        <v>0</v>
      </c>
      <c r="BX40" s="565" t="str">
        <f t="shared" ref="BX40:BX64" si="33">I40&amp;H40</f>
        <v xml:space="preserve">   All Other</v>
      </c>
      <c r="BY40" s="89" t="str">
        <f>IF(AF40="Fail","",INDEX(References!$AH$4:$AH$86,MATCH(Calculations!BX40,References!$AG$4:$AG$86,0)))</f>
        <v/>
      </c>
      <c r="BZ40" s="89" t="str">
        <f>IF(AF40="FAIL","",BL40*References!$B$21+IF(BM40&gt;0,BM40*References!$B$25,0))</f>
        <v/>
      </c>
      <c r="CA40" s="89" t="str">
        <f>IF(AF40="FAIL","",IF(BM40&gt;0,0,BM40)*References!$B$25+BF40*INDEX(References!$F$136:$F$142,MATCH(IF(LEFT(AJ40,8)="Baseline",LEFT(AJ40,8),AJ40),References!$D$136:$D$142,0)))</f>
        <v/>
      </c>
      <c r="CB40" s="89">
        <f>IF(BY40="",0,ROUND(INDEX(References!$E$118:$E$132,MATCH('Whole Building ccASHP Worksheet'!B20,References!$D$118:$D$132,0))*BB40,References!$B$40))</f>
        <v>0</v>
      </c>
    </row>
    <row r="41" spans="2:80" x14ac:dyDescent="0.3">
      <c r="B41" s="11">
        <v>2</v>
      </c>
      <c r="C41" s="15" t="str">
        <f>IF('Whole Building ccASHP Worksheet'!B21="","",'Whole Building ccASHP Worksheet'!B21)</f>
        <v/>
      </c>
      <c r="D41" s="13" t="str">
        <f>IF('Whole Building ccASHP Worksheet'!C21="","",'Whole Building ccASHP Worksheet'!C21)</f>
        <v/>
      </c>
      <c r="E41" s="13" t="str">
        <f>IF('Whole Building ccASHP Worksheet'!E21="","",'Whole Building ccASHP Worksheet'!E21)</f>
        <v/>
      </c>
      <c r="F41" s="13" t="str">
        <f>IF('Whole Building ccASHP Worksheet'!X21="","",'Whole Building ccASHP Worksheet'!X21)</f>
        <v/>
      </c>
      <c r="G41" s="13" t="str">
        <f>IF('Whole Building ccASHP Worksheet'!Y21="","",'Whole Building ccASHP Worksheet'!Y21)</f>
        <v/>
      </c>
      <c r="H41" s="565" t="str">
        <f t="shared" ref="H41:H64" si="34">IF(F41&amp;G41="NoneNone"," New Construction",IF(AND(AND(LEFT(F41,5)&lt;&gt;"Split",LEFT(F41,6)&lt;&gt;"Single"),G41="Oil")," Existing Oil No CAC"," All Other"))</f>
        <v xml:space="preserve"> All Other</v>
      </c>
      <c r="I41" s="511" t="str">
        <f t="shared" si="28"/>
        <v xml:space="preserve">  </v>
      </c>
      <c r="J41" s="15" t="str">
        <f>IF('Whole Building ccASHP Worksheet'!I21="","",'Whole Building ccASHP Worksheet'!I21)</f>
        <v/>
      </c>
      <c r="K41" s="14" t="str">
        <f>IF('Whole Building ccASHP Worksheet'!J21="","",'Whole Building ccASHP Worksheet'!J21)</f>
        <v/>
      </c>
      <c r="L41" s="15" t="str">
        <f>IF('Whole Building ccASHP Worksheet'!K21="","",'Whole Building ccASHP Worksheet'!K21)</f>
        <v/>
      </c>
      <c r="M41" s="13" t="str">
        <f>IF('Whole Building ccASHP Worksheet'!L21="","",'Whole Building ccASHP Worksheet'!L21)</f>
        <v/>
      </c>
      <c r="N41" s="13" t="str">
        <f>IF('Whole Building ccASHP Worksheet'!M21="","",'Whole Building ccASHP Worksheet'!M21)</f>
        <v/>
      </c>
      <c r="O41" s="13" t="str">
        <f>IF('Whole Building ccASHP Worksheet'!N21="","",'Whole Building ccASHP Worksheet'!N21)</f>
        <v/>
      </c>
      <c r="P41" s="15" t="str">
        <f t="shared" si="29"/>
        <v/>
      </c>
      <c r="Q41" s="13" t="str">
        <f t="shared" si="30"/>
        <v/>
      </c>
      <c r="R41" s="13" t="str">
        <f t="shared" si="31"/>
        <v/>
      </c>
      <c r="S41" s="13" t="str">
        <f t="shared" si="32"/>
        <v/>
      </c>
      <c r="T41" s="15" t="str">
        <f t="shared" ref="T41:T63" si="35">IF(AND(L41="",P41&lt;&gt;0),"",IF(L41&gt;=P41,"PASS","FAIL"))</f>
        <v/>
      </c>
      <c r="U41" s="13" t="str">
        <f t="shared" ref="U41:U63" si="36">IF(AND(M41="",Q41&lt;&gt;0),"",IF(M41&gt;=Q41,"PASS","FAIL"))</f>
        <v/>
      </c>
      <c r="V41" s="13" t="str">
        <f t="shared" ref="V41:V63" si="37">IF(AND(N41="",R41&lt;&gt;0),"",IF(N41&gt;=R41,"PASS","FAIL"))</f>
        <v/>
      </c>
      <c r="W41" s="13" t="str">
        <f t="shared" ref="W41:W63" si="38">IF(AND(O41="",S41&lt;&gt;0),"",IF(O41&gt;=S41,"PASS","FAIL"))</f>
        <v/>
      </c>
      <c r="X41" s="15" t="str">
        <f>'Whole Building ccASHP Worksheet'!BuildingType</f>
        <v>Select …</v>
      </c>
      <c r="Y41" s="530" t="e">
        <f>IF(OR(X41="",X41="… please select …"),0,INDEX(References!$H$22:$H$43,MATCH(X41,References!$G$22:$G$43,0)))</f>
        <v>#N/A</v>
      </c>
      <c r="Z41" s="61" t="e">
        <f>IF(OR(X41="",X41="… please select …"),0,INDEX(References!$I$22:$I$43,MATCH(X41,References!$G$22:$G$43,0)))</f>
        <v>#N/A</v>
      </c>
      <c r="AA41" s="15" t="str">
        <f>IF(OR('Whole Building ccASHP Worksheet'!P21="",'Whole Building ccASHP Worksheet'!P21=0),"",'Whole Building ccASHP Worksheet'!P21)</f>
        <v/>
      </c>
      <c r="AB41" s="13" t="str">
        <f>IF(OR('Whole Building ccASHP Worksheet'!Q21="",'Whole Building ccASHP Worksheet'!Q21=0),"",'Whole Building ccASHP Worksheet'!Q21)</f>
        <v/>
      </c>
      <c r="AC41" s="530" t="str">
        <f t="shared" ref="AC41:AC64" si="39">IF(AB41="","",AB41*90%)</f>
        <v/>
      </c>
      <c r="AD41" s="530" t="str">
        <f t="shared" ref="AD41:AD64" si="40">IF(AB41="","",AB41*120%)</f>
        <v/>
      </c>
      <c r="AE41" s="61" t="str">
        <f t="shared" ref="AE41:AE63" si="41">IF(OR(AA41="",AB41="",J41="",K41=""),"",IF(AND(K41&gt;=AC41,K41&lt;=AD41),"PASS","FAIL"))</f>
        <v/>
      </c>
      <c r="AF41" s="511" t="str">
        <f t="shared" ref="AF41:AF63" si="42">IF(AND(T41="PASS",U41="PASS",V41="PASS",W41="PASS",AE41="PASS"),"PASS","FAIL")</f>
        <v>FAIL</v>
      </c>
      <c r="AG41" s="10">
        <v>2</v>
      </c>
      <c r="AH41" s="21" t="str">
        <f t="shared" ref="AH41:AH64" si="43">C41&amp;" "&amp;D41&amp;" "&amp;F41</f>
        <v xml:space="preserve">  </v>
      </c>
      <c r="AI41" s="21" t="str">
        <f>IF(OR('Whole Building ccASHP Worksheet'!X21="",'Whole Building ccASHP Worksheet'!X21="None"),IF($I41="  ","","Baseline "&amp;INDEX(References!$W$4:$W$44,MATCH($I41,References!$T$4:$T$44,0))),"Existing "&amp;'Whole Building ccASHP Worksheet'!X21)</f>
        <v/>
      </c>
      <c r="AJ41" s="21" t="str">
        <f>IF(OR('Whole Building ccASHP Worksheet'!Y21="",'Whole Building ccASHP Worksheet'!Y21="None"),IF($I41="  ","","Baseline "&amp;INDEX(References!$W$4:$W$44,MATCH($I41,References!$T$4:$T$44,0))),"Existing "&amp;'Whole Building ccASHP Worksheet'!Y21)</f>
        <v/>
      </c>
      <c r="AK41" s="342" t="str">
        <f>_xlfn.IFNA(IF(OR('Whole Building ccASHP Worksheet'!AB21=0,'Whole Building ccASHP Worksheet'!AB21=""),IF(LEFT(I41,3)="pac",0,INDEX(References!$BL$5:$BL$45,MATCH(I41,References!$AY$5:$AY$45,0))),'Whole Building ccASHP Worksheet'!AB21),"")</f>
        <v/>
      </c>
      <c r="AL41" s="343" t="str">
        <f>IF(I41="  ","",IF('Whole Building ccASHP Worksheet'!AC21="",IF(LEFT(I41,3)="Pac",(INDEX(References!$BM$4:$BM$44,MATCH(I41,References!$AY$4:$AY$44,0)))-(0.3*J41*12000/1000),INDEX(References!$BM$4:$BM$44,MATCH(I41,References!$AY$4:$AY$44,0))),'Whole Building ccASHP Worksheet'!AC21))</f>
        <v/>
      </c>
      <c r="AM41" s="343" t="str">
        <f>IF(I41="  ","",IF(OR($AJ41="Existing Gas",$AJ41="Existing Oil",$AJ41="Existing Propane"),0,IF(AND('Whole Building ccASHP Worksheet'!AD21=0,'Whole Building ccASHP Worksheet'!AE21=0),IF(LEFT(I41,3)="pac",0,INDEX(References!$BN$5:$BN$44,MATCH(I41,References!$AY$5:$AY$44,0))),IF(AND('Whole Building ccASHP Worksheet'!AD21=0,'Whole Building ccASHP Worksheet'!AE21&gt;0),'Whole Building ccASHP Worksheet'!AE21*References!$B$49,'Whole Building ccASHP Worksheet'!AD21))))</f>
        <v/>
      </c>
      <c r="AN41" s="343" t="str">
        <f>IF($I41="  ","",IF(OR($AJ41="Existing Gas",$AJ41="Existing Oil",$AJ41="Existing Propane"),0,IF(OR('Whole Building ccASHP Worksheet'!AE21="",'Whole Building ccASHP Worksheet'!AE21=0),IF(LEFT(I41,3)="Pac",(INDEX(References!$BN$5:$BN$44,MATCH(I41,References!$AY$5:$AY$44,0)))-INDEX(References!$BO$5:$BO$44,MATCH(I41,References!$AY$5:$AY$44,0))*J41*12000/1000,INDEX(References!$BO$5:$BO$44,MATCH(I41,References!$AY$5:$AY$44,0))),'Whole Building ccASHP Worksheet'!AE21)))</f>
        <v/>
      </c>
      <c r="AO41" s="521" t="str">
        <f>IF($I41="  ","",IF(OR($AJ41="Existing Gas",$AJ41="Existing Oil",$AJ41="Existing Propane"),IF(OR('Whole Building ccASHP Worksheet'!AF21="",'Whole Building ccASHP Worksheet'!AF21=0),INDEX(References!$E$136:$E$139,MATCH(AJ41,References!$D$136:$D$139,0)),'Whole Building ccASHP Worksheet'!AF21),0))</f>
        <v/>
      </c>
      <c r="AP41" s="349">
        <f>IF(OR('Whole Building ccASHP Worksheet'!$B$15="Integrated/Modulating Control",'Whole Building ccASHP Worksheet'!$B$15="No Fossil Fuel Heating"),IF(K41&gt;=AB41,1,0.9),0.9)</f>
        <v>0.9</v>
      </c>
      <c r="AQ41" s="521" t="str">
        <f>IF(C41="","",INDEX(References!$M$56:$M$66,MATCH(C41&amp;" "&amp;'Whole Building ccASHP Worksheet'!$B$15&amp;" "&amp;AP41,References!$L$56:$L$66,0)))</f>
        <v/>
      </c>
      <c r="AR41" s="521" t="str">
        <f>IF(C41="","",INDEX(References!$N$56:$N$66,MATCH(C41&amp;" "&amp;'Whole Building ccASHP Worksheet'!$B$15&amp;" "&amp;AP41,References!$L$56:$L$66,0)))</f>
        <v/>
      </c>
      <c r="AS41" s="521" t="str">
        <f>IF(C41="","",INDEX(References!$O$56:$O$66,MATCH(C41&amp;" "&amp;'Whole Building ccASHP Worksheet'!$B$15&amp;" "&amp;AP41,References!$L$56:$L$66,0)))</f>
        <v/>
      </c>
      <c r="AT41" s="521" t="str">
        <f>IF(C41="","",INDEX(References!$P$56:$P$66,MATCH(C41&amp;" "&amp;'Whole Building ccASHP Worksheet'!$B$15&amp;" "&amp;AP41,References!$L$56:$L$66,0)))</f>
        <v/>
      </c>
      <c r="AU41" s="521" t="str">
        <f>IF(C41="","",INDEX(References!$Q$56:$Q$66,MATCH(C41&amp;" "&amp;'Whole Building ccASHP Worksheet'!$B$15&amp;" "&amp;AP41,References!$L$56:$L$66,0)))</f>
        <v/>
      </c>
      <c r="AV41" s="521" t="str">
        <f>IF(C41="","",INDEX(References!$R$56:$R$66,MATCH(C41&amp;" "&amp;'Whole Building ccASHP Worksheet'!$B$15&amp;" "&amp;AP41,References!$L$56:$L$66,0)))</f>
        <v/>
      </c>
      <c r="AW41" s="521" t="str">
        <f>IF(C41="","",INDEX(References!$S$56:$S$66,MATCH(C41&amp;" "&amp;'Whole Building ccASHP Worksheet'!$B$15&amp;" "&amp;AP41,References!$L$56:$L$66,0)))</f>
        <v/>
      </c>
      <c r="AX41" s="521" t="str">
        <f>IF(AM41="","",IF(AM41&lt;8.5,References!$M$69,References!$M$70))</f>
        <v/>
      </c>
      <c r="AY41" s="521" t="str">
        <f t="shared" ref="AY41:AY64" si="44">IF(AQ41="","",AT41+AU41*L41)</f>
        <v/>
      </c>
      <c r="AZ41" s="521" t="str">
        <f t="shared" ref="AZ41:AZ64" si="45">IF(AQ41="","",AR41+AS41*N41/3.412)</f>
        <v/>
      </c>
      <c r="BA41" s="521" t="str">
        <f t="shared" ref="BA41:BA64" si="46">IF(AQ41="","",IF(AM41=0,0,AM41*AX41/3.412))</f>
        <v/>
      </c>
      <c r="BB41" s="212" t="str">
        <f>IF(AF41="FAIL","",IF(AND(AL41&gt;0,M41&gt;0),ROUND((AA41/1000)*((1/AL41)-(1/M41)),References!$B$40),0))</f>
        <v/>
      </c>
      <c r="BC41" s="308" t="str">
        <f>IF(AF41="FAIL","",IF(AND(AM41&gt;0,N41&gt;0),ROUND((AB41/1000)*((1/(AM41/3.412))-(1/(N41/3.412))),References!$B$40),ROUND((AB41/1000)*-(1/(N41/3.412)),References!$B$40)))</f>
        <v/>
      </c>
      <c r="BD41" s="308" t="str">
        <f>IF(AF41="FAIL","",IF(AND(AK41=0,AL41=0),0,IF(AK41&gt;0,ROUND((AA41/1000)*((1/AK41)-(1/AY41))*Y41*AV41,References!$B$43),ROUND((AA41/1000)*((1/AL41)-(1/AY41))*Y41*AV41,References!$B$43))))</f>
        <v/>
      </c>
      <c r="BE41" s="308" t="str">
        <f>IF(BD41="","",BD41*References!$B$29)</f>
        <v/>
      </c>
      <c r="BF41" s="308" t="str">
        <f t="shared" ref="BF41:BF64" si="47">IF(AF41="FAIL","",IF(AO41=0,0,(AB41/AO41)*Z41*AW41/1000000))</f>
        <v/>
      </c>
      <c r="BG41" s="308" t="str">
        <f>IF(AF41="FAIL","",IF(AND(AZ41&gt;0,BA41&gt;0),ROUND((AB41/1000)*((1/BA41)-(1/AZ41))*Z41*AW41/3.413,References!$B$43),0))</f>
        <v/>
      </c>
      <c r="BH41" s="308" t="str">
        <f>IF(AF41="FAIL","",IF(AND(OR($AJ41="Existing Gas",$AJ41="Existing Oil",$AJ41="Existing Propane"),RIGHT(C41,10)="Heat Pumps"),IF(AND(AZ41&gt;0,AZ41&lt;&gt;""),ROUND(((AB41/1000)*((1/AZ41))*Z41*AW41/3.412),References!$B$43),0),0))</f>
        <v/>
      </c>
      <c r="BI41" s="308" t="str">
        <f>IF(AF41="FAIL","",(BG41*References!$B$29)-(BH41*References!$B$29))</f>
        <v/>
      </c>
      <c r="BJ41" s="308" t="str">
        <f t="shared" ref="BJ41:BJ64" si="48">IF(AF41="FAIL","",BI41+BF41)</f>
        <v/>
      </c>
      <c r="BK41" s="308" t="str">
        <f t="shared" ref="BK41:BK64" si="49">IF(AF41="FAIL","",BD41+BG41-BH41)</f>
        <v/>
      </c>
      <c r="BL41" s="343" t="str">
        <f t="shared" ref="BL41:BL64" si="50">BD41</f>
        <v/>
      </c>
      <c r="BM41" s="343" t="str">
        <f t="shared" ref="BM41:BM64" si="51">IF(OR(BG41="",BH41=""),"",(BG41-BH41))</f>
        <v/>
      </c>
      <c r="BN41" s="343" t="str">
        <f t="shared" ref="BN41:BN64" si="52">IF(OR(BL41="",BM41=""),"",BL41+BM41)</f>
        <v/>
      </c>
      <c r="BO41" s="649" t="str">
        <f t="shared" ref="BO41:BO64" si="53">BE41</f>
        <v/>
      </c>
      <c r="BP41" s="649" t="str">
        <f t="shared" ref="BP41:BP64" si="54">BJ41</f>
        <v/>
      </c>
      <c r="BQ41" s="650" t="str">
        <f t="shared" ref="BQ41:BQ64" si="55">IF(AF41="FAIL","",BO41+BP41)</f>
        <v/>
      </c>
      <c r="BR41" s="343" t="str">
        <f t="shared" ref="BR41:BR64" si="56">IF(AF41="FAIL","",BD41+BG41)</f>
        <v/>
      </c>
      <c r="BS41" s="558">
        <f t="shared" ref="BS41:BS64" si="57">IF(AF41="FAIL",0,VLOOKUP(I41,T1T2_ReferenceTable,IF(H41=" New Construction",11,IF(H41=" All Other",13,12)),FALSE))</f>
        <v>0</v>
      </c>
      <c r="BT41" s="566" t="e">
        <f t="shared" ref="BT41:BT64" si="58">BS41*(K41/12000)</f>
        <v>#VALUE!</v>
      </c>
      <c r="BU41" s="526">
        <f t="shared" ref="BU41:BU64" si="59">IF(AND(AF41="PASS",BS41&lt;&gt;0),0,0)</f>
        <v>0</v>
      </c>
      <c r="BX41" s="565" t="str">
        <f t="shared" si="33"/>
        <v xml:space="preserve">   All Other</v>
      </c>
      <c r="BY41" s="89" t="str">
        <f>IF(AF41="Fail","",INDEX(References!$AH$4:$AH$86,MATCH(Calculations!BX41,References!$AG$4:$AG$86,0)))</f>
        <v/>
      </c>
      <c r="BZ41" s="89" t="str">
        <f>IF(AF41="FAIL","",BL41*References!$B$21+IF(BM41&gt;0,BM41*References!$B$25,0))</f>
        <v/>
      </c>
      <c r="CA41" s="89" t="str">
        <f>IF(AF41="FAIL","",IF(BM41&gt;0,0,BM41)*References!$B$25+BF41*INDEX(References!$F$136:$F$142,MATCH(IF(LEFT(AJ41,8)="Baseline",LEFT(AJ41,8),AJ41),References!$D$136:$D$142,0)))</f>
        <v/>
      </c>
      <c r="CB41" s="89">
        <f>IF(BY41="",0,ROUND(INDEX(References!$E$118:$E$132,MATCH('Whole Building ccASHP Worksheet'!B21,References!$D$118:$D$132,0))*BB41,References!$B$40))</f>
        <v>0</v>
      </c>
    </row>
    <row r="42" spans="2:80" x14ac:dyDescent="0.3">
      <c r="B42" s="11">
        <v>3</v>
      </c>
      <c r="C42" s="15" t="str">
        <f>IF('Whole Building ccASHP Worksheet'!B22="","",'Whole Building ccASHP Worksheet'!B22)</f>
        <v/>
      </c>
      <c r="D42" s="13" t="str">
        <f>IF('Whole Building ccASHP Worksheet'!C22="","",'Whole Building ccASHP Worksheet'!C22)</f>
        <v/>
      </c>
      <c r="E42" s="13" t="str">
        <f>IF('Whole Building ccASHP Worksheet'!E22="","",'Whole Building ccASHP Worksheet'!E22)</f>
        <v/>
      </c>
      <c r="F42" s="13" t="str">
        <f>IF('Whole Building ccASHP Worksheet'!X22="","",'Whole Building ccASHP Worksheet'!X22)</f>
        <v/>
      </c>
      <c r="G42" s="13" t="str">
        <f>IF('Whole Building ccASHP Worksheet'!Y22="","",'Whole Building ccASHP Worksheet'!Y22)</f>
        <v/>
      </c>
      <c r="H42" s="565" t="str">
        <f t="shared" si="34"/>
        <v xml:space="preserve"> All Other</v>
      </c>
      <c r="I42" s="511" t="str">
        <f t="shared" si="28"/>
        <v xml:space="preserve">  </v>
      </c>
      <c r="J42" s="15" t="str">
        <f>IF('Whole Building ccASHP Worksheet'!I22="","",'Whole Building ccASHP Worksheet'!I22)</f>
        <v/>
      </c>
      <c r="K42" s="14" t="str">
        <f>IF('Whole Building ccASHP Worksheet'!J22="","",'Whole Building ccASHP Worksheet'!J22)</f>
        <v/>
      </c>
      <c r="L42" s="15" t="str">
        <f>IF('Whole Building ccASHP Worksheet'!K22="","",'Whole Building ccASHP Worksheet'!K22)</f>
        <v/>
      </c>
      <c r="M42" s="13" t="str">
        <f>IF('Whole Building ccASHP Worksheet'!L22="","",'Whole Building ccASHP Worksheet'!L22)</f>
        <v/>
      </c>
      <c r="N42" s="13" t="str">
        <f>IF('Whole Building ccASHP Worksheet'!M22="","",'Whole Building ccASHP Worksheet'!M22)</f>
        <v/>
      </c>
      <c r="O42" s="13" t="str">
        <f>IF('Whole Building ccASHP Worksheet'!N22="","",'Whole Building ccASHP Worksheet'!N22)</f>
        <v/>
      </c>
      <c r="P42" s="15" t="str">
        <f t="shared" si="29"/>
        <v/>
      </c>
      <c r="Q42" s="13" t="str">
        <f t="shared" si="30"/>
        <v/>
      </c>
      <c r="R42" s="13" t="str">
        <f t="shared" si="31"/>
        <v/>
      </c>
      <c r="S42" s="13" t="str">
        <f t="shared" si="32"/>
        <v/>
      </c>
      <c r="T42" s="15" t="str">
        <f t="shared" si="35"/>
        <v/>
      </c>
      <c r="U42" s="13" t="str">
        <f t="shared" si="36"/>
        <v/>
      </c>
      <c r="V42" s="13" t="str">
        <f t="shared" si="37"/>
        <v/>
      </c>
      <c r="W42" s="13" t="str">
        <f t="shared" si="38"/>
        <v/>
      </c>
      <c r="X42" s="15" t="str">
        <f>'Whole Building ccASHP Worksheet'!BuildingType</f>
        <v>Select …</v>
      </c>
      <c r="Y42" s="530" t="e">
        <f>IF(OR(X42="",X42="… please select …"),0,INDEX(References!$H$22:$H$43,MATCH(X42,References!$G$22:$G$43,0)))</f>
        <v>#N/A</v>
      </c>
      <c r="Z42" s="61" t="e">
        <f>IF(OR(X42="",X42="… please select …"),0,INDEX(References!$I$22:$I$43,MATCH(X42,References!$G$22:$G$43,0)))</f>
        <v>#N/A</v>
      </c>
      <c r="AA42" s="15" t="str">
        <f>IF(OR('Whole Building ccASHP Worksheet'!P22="",'Whole Building ccASHP Worksheet'!P22=0),"",'Whole Building ccASHP Worksheet'!P22)</f>
        <v/>
      </c>
      <c r="AB42" s="13" t="str">
        <f>IF(OR('Whole Building ccASHP Worksheet'!Q22="",'Whole Building ccASHP Worksheet'!Q22=0),"",'Whole Building ccASHP Worksheet'!Q22)</f>
        <v/>
      </c>
      <c r="AC42" s="530" t="str">
        <f t="shared" si="39"/>
        <v/>
      </c>
      <c r="AD42" s="530" t="str">
        <f t="shared" si="40"/>
        <v/>
      </c>
      <c r="AE42" s="61" t="str">
        <f t="shared" si="41"/>
        <v/>
      </c>
      <c r="AF42" s="511" t="str">
        <f t="shared" si="42"/>
        <v>FAIL</v>
      </c>
      <c r="AG42" s="10">
        <v>3</v>
      </c>
      <c r="AH42" s="21" t="str">
        <f t="shared" si="43"/>
        <v xml:space="preserve">  </v>
      </c>
      <c r="AI42" s="21" t="str">
        <f>IF(OR('Whole Building ccASHP Worksheet'!X22="",'Whole Building ccASHP Worksheet'!X22="None"),IF($I42="  ","","Baseline "&amp;INDEX(References!$W$4:$W$44,MATCH($I42,References!$T$4:$T$44,0))),"Existing "&amp;'Whole Building ccASHP Worksheet'!X22)</f>
        <v/>
      </c>
      <c r="AJ42" s="21" t="str">
        <f>IF(OR('Whole Building ccASHP Worksheet'!Y22="",'Whole Building ccASHP Worksheet'!Y22="None"),IF($I42="  ","","Baseline "&amp;INDEX(References!$W$4:$W$44,MATCH($I42,References!$T$4:$T$44,0))),"Existing "&amp;'Whole Building ccASHP Worksheet'!Y22)</f>
        <v/>
      </c>
      <c r="AK42" s="342" t="str">
        <f>_xlfn.IFNA(IF(OR('Whole Building ccASHP Worksheet'!AB22=0,'Whole Building ccASHP Worksheet'!AB22=""),IF(LEFT(I42,3)="pac",0,INDEX(References!$BL$5:$BL$45,MATCH(I42,References!$AY$5:$AY$45,0))),'Whole Building ccASHP Worksheet'!AB22),"")</f>
        <v/>
      </c>
      <c r="AL42" s="343" t="str">
        <f>IF(I42="  ","",IF('Whole Building ccASHP Worksheet'!AC22="",IF(LEFT(I42,3)="Pac",(INDEX(References!$BM$4:$BM$44,MATCH(I42,References!$AY$4:$AY$44,0)))-(0.3*J42*12000/1000),INDEX(References!$BM$4:$BM$44,MATCH(I42,References!$AY$4:$AY$44,0))),'Whole Building ccASHP Worksheet'!AC22))</f>
        <v/>
      </c>
      <c r="AM42" s="343" t="str">
        <f>IF(I42="  ","",IF(OR($AJ42="Existing Gas",$AJ42="Existing Oil",$AJ42="Existing Propane"),0,IF(AND('Whole Building ccASHP Worksheet'!AD22=0,'Whole Building ccASHP Worksheet'!AE22=0),IF(LEFT(I42,3)="pac",0,INDEX(References!$BN$5:$BN$44,MATCH(I42,References!$AY$5:$AY$44,0))),IF(AND('Whole Building ccASHP Worksheet'!AD22=0,'Whole Building ccASHP Worksheet'!AE22&gt;0),'Whole Building ccASHP Worksheet'!AE22*References!$B$49,'Whole Building ccASHP Worksheet'!AD22))))</f>
        <v/>
      </c>
      <c r="AN42" s="343" t="str">
        <f>IF($I42="  ","",IF(OR($AJ42="Existing Gas",$AJ42="Existing Oil",$AJ42="Existing Propane"),0,IF(OR('Whole Building ccASHP Worksheet'!AE22="",'Whole Building ccASHP Worksheet'!AE22=0),IF(LEFT(I42,3)="Pac",(INDEX(References!$BN$5:$BN$44,MATCH(I42,References!$AY$5:$AY$44,0)))-INDEX(References!$BO$5:$BO$44,MATCH(I42,References!$AY$5:$AY$44,0))*J42*12000/1000,INDEX(References!$BO$5:$BO$44,MATCH(I42,References!$AY$5:$AY$44,0))),'Whole Building ccASHP Worksheet'!AE22)))</f>
        <v/>
      </c>
      <c r="AO42" s="521" t="str">
        <f>IF($I42="  ","",IF(OR($AJ42="Existing Gas",$AJ42="Existing Oil",$AJ42="Existing Propane"),IF(OR('Whole Building ccASHP Worksheet'!AF22="",'Whole Building ccASHP Worksheet'!AF22=0),INDEX(References!$E$136:$E$139,MATCH(AJ42,References!$D$136:$D$139,0)),'Whole Building ccASHP Worksheet'!AF22),0))</f>
        <v/>
      </c>
      <c r="AP42" s="349">
        <f>IF(OR('Whole Building ccASHP Worksheet'!$B$15="Integrated/Modulating Control",'Whole Building ccASHP Worksheet'!$B$15="No Fossil Fuel Heating"),IF(K42&gt;=AB42,1,0.9),0.9)</f>
        <v>0.9</v>
      </c>
      <c r="AQ42" s="521" t="str">
        <f>IF(C42="","",INDEX(References!$M$56:$M$66,MATCH(C42&amp;" "&amp;'Whole Building ccASHP Worksheet'!$B$15&amp;" "&amp;AP42,References!$L$56:$L$66,0)))</f>
        <v/>
      </c>
      <c r="AR42" s="521" t="str">
        <f>IF(C42="","",INDEX(References!$N$56:$N$66,MATCH(C42&amp;" "&amp;'Whole Building ccASHP Worksheet'!$B$15&amp;" "&amp;AP42,References!$L$56:$L$66,0)))</f>
        <v/>
      </c>
      <c r="AS42" s="521" t="str">
        <f>IF(C42="","",INDEX(References!$O$56:$O$66,MATCH(C42&amp;" "&amp;'Whole Building ccASHP Worksheet'!$B$15&amp;" "&amp;AP42,References!$L$56:$L$66,0)))</f>
        <v/>
      </c>
      <c r="AT42" s="521" t="str">
        <f>IF(C42="","",INDEX(References!$P$56:$P$66,MATCH(C42&amp;" "&amp;'Whole Building ccASHP Worksheet'!$B$15&amp;" "&amp;AP42,References!$L$56:$L$66,0)))</f>
        <v/>
      </c>
      <c r="AU42" s="521" t="str">
        <f>IF(C42="","",INDEX(References!$Q$56:$Q$66,MATCH(C42&amp;" "&amp;'Whole Building ccASHP Worksheet'!$B$15&amp;" "&amp;AP42,References!$L$56:$L$66,0)))</f>
        <v/>
      </c>
      <c r="AV42" s="521" t="str">
        <f>IF(C42="","",INDEX(References!$R$56:$R$66,MATCH(C42&amp;" "&amp;'Whole Building ccASHP Worksheet'!$B$15&amp;" "&amp;AP42,References!$L$56:$L$66,0)))</f>
        <v/>
      </c>
      <c r="AW42" s="521" t="str">
        <f>IF(C42="","",INDEX(References!$S$56:$S$66,MATCH(C42&amp;" "&amp;'Whole Building ccASHP Worksheet'!$B$15&amp;" "&amp;AP42,References!$L$56:$L$66,0)))</f>
        <v/>
      </c>
      <c r="AX42" s="521" t="str">
        <f>IF(AM42="","",IF(AM42&lt;8.5,References!$M$69,References!$M$70))</f>
        <v/>
      </c>
      <c r="AY42" s="521" t="str">
        <f t="shared" si="44"/>
        <v/>
      </c>
      <c r="AZ42" s="521" t="str">
        <f t="shared" si="45"/>
        <v/>
      </c>
      <c r="BA42" s="521" t="str">
        <f t="shared" si="46"/>
        <v/>
      </c>
      <c r="BB42" s="212" t="str">
        <f>IF(AF42="FAIL","",IF(AND(AL42&gt;0,M42&gt;0),ROUND((AA42/1000)*((1/AL42)-(1/M42)),References!$B$40),0))</f>
        <v/>
      </c>
      <c r="BC42" s="308" t="str">
        <f>IF(AF42="FAIL","",IF(AND(AM42&gt;0,N42&gt;0),ROUND((AB42/1000)*((1/(AM42/3.412))-(1/(N42/3.412))),References!$B$40),ROUND((AB42/1000)*-(1/(N42/3.412)),References!$B$40)))</f>
        <v/>
      </c>
      <c r="BD42" s="308" t="str">
        <f>IF(AF42="FAIL","",IF(AND(AK42=0,AL42=0),0,IF(AK42&gt;0,ROUND((AA42/1000)*((1/AK42)-(1/AY42))*Y42*AV42,References!$B$43),ROUND((AA42/1000)*((1/AL42)-(1/AY42))*Y42*AV42,References!$B$43))))</f>
        <v/>
      </c>
      <c r="BE42" s="308" t="str">
        <f>IF(BD42="","",BD42*References!$B$29)</f>
        <v/>
      </c>
      <c r="BF42" s="308" t="str">
        <f t="shared" si="47"/>
        <v/>
      </c>
      <c r="BG42" s="308" t="str">
        <f>IF(AF42="FAIL","",IF(AND(AZ42&gt;0,BA42&gt;0),ROUND((AB42/1000)*((1/BA42)-(1/AZ42))*Z42*AW42/3.413,References!$B$43),0))</f>
        <v/>
      </c>
      <c r="BH42" s="308" t="str">
        <f>IF(AF42="FAIL","",IF(AND(OR($AJ42="Existing Gas",$AJ42="Existing Oil",$AJ42="Existing Propane"),RIGHT(C42,10)="Heat Pumps"),IF(AND(AZ42&gt;0,AZ42&lt;&gt;""),ROUND(((AB42/1000)*((1/AZ42))*Z42*AW42/3.412),References!$B$43),0),0))</f>
        <v/>
      </c>
      <c r="BI42" s="308" t="str">
        <f>IF(AF42="FAIL","",(BG42*References!$B$29)-(BH42*References!$B$29))</f>
        <v/>
      </c>
      <c r="BJ42" s="308" t="str">
        <f t="shared" si="48"/>
        <v/>
      </c>
      <c r="BK42" s="308" t="str">
        <f t="shared" si="49"/>
        <v/>
      </c>
      <c r="BL42" s="343" t="str">
        <f t="shared" si="50"/>
        <v/>
      </c>
      <c r="BM42" s="343" t="str">
        <f t="shared" si="51"/>
        <v/>
      </c>
      <c r="BN42" s="343" t="str">
        <f t="shared" si="52"/>
        <v/>
      </c>
      <c r="BO42" s="649" t="str">
        <f t="shared" si="53"/>
        <v/>
      </c>
      <c r="BP42" s="649" t="str">
        <f t="shared" si="54"/>
        <v/>
      </c>
      <c r="BQ42" s="650" t="str">
        <f t="shared" si="55"/>
        <v/>
      </c>
      <c r="BR42" s="343" t="str">
        <f t="shared" si="56"/>
        <v/>
      </c>
      <c r="BS42" s="558">
        <f t="shared" si="57"/>
        <v>0</v>
      </c>
      <c r="BT42" s="566" t="e">
        <f t="shared" si="58"/>
        <v>#VALUE!</v>
      </c>
      <c r="BU42" s="526">
        <f t="shared" si="59"/>
        <v>0</v>
      </c>
      <c r="BX42" s="565" t="str">
        <f t="shared" si="33"/>
        <v xml:space="preserve">   All Other</v>
      </c>
      <c r="BY42" s="89" t="str">
        <f>IF(AF42="Fail","",INDEX(References!$AH$4:$AH$86,MATCH(Calculations!BX42,References!$AG$4:$AG$86,0)))</f>
        <v/>
      </c>
      <c r="BZ42" s="89" t="str">
        <f>IF(AF42="FAIL","",BL42*References!$B$21+IF(BM42&gt;0,BM42*References!$B$25,0))</f>
        <v/>
      </c>
      <c r="CA42" s="89" t="str">
        <f>IF(AF42="FAIL","",IF(BM42&gt;0,0,BM42)*References!$B$25+BF42*INDEX(References!$F$136:$F$142,MATCH(IF(LEFT(AJ42,8)="Baseline",LEFT(AJ42,8),AJ42),References!$D$136:$D$142,0)))</f>
        <v/>
      </c>
      <c r="CB42" s="89">
        <f>IF(BY42="",0,ROUND(INDEX(References!$E$118:$E$132,MATCH('Whole Building ccASHP Worksheet'!B22,References!$D$118:$D$132,0))*BB42,References!$B$40))</f>
        <v>0</v>
      </c>
    </row>
    <row r="43" spans="2:80" x14ac:dyDescent="0.3">
      <c r="B43" s="11">
        <v>4</v>
      </c>
      <c r="C43" s="15" t="str">
        <f>IF('Whole Building ccASHP Worksheet'!B23="","",'Whole Building ccASHP Worksheet'!B23)</f>
        <v/>
      </c>
      <c r="D43" s="13" t="str">
        <f>IF('Whole Building ccASHP Worksheet'!C23="","",'Whole Building ccASHP Worksheet'!C23)</f>
        <v/>
      </c>
      <c r="E43" s="13" t="str">
        <f>IF('Whole Building ccASHP Worksheet'!E23="","",'Whole Building ccASHP Worksheet'!E23)</f>
        <v/>
      </c>
      <c r="F43" s="13" t="str">
        <f>IF('Whole Building ccASHP Worksheet'!X23="","",'Whole Building ccASHP Worksheet'!X23)</f>
        <v/>
      </c>
      <c r="G43" s="13" t="str">
        <f>IF('Whole Building ccASHP Worksheet'!Y23="","",'Whole Building ccASHP Worksheet'!Y23)</f>
        <v/>
      </c>
      <c r="H43" s="565" t="str">
        <f t="shared" si="34"/>
        <v xml:space="preserve"> All Other</v>
      </c>
      <c r="I43" s="511" t="str">
        <f t="shared" si="28"/>
        <v xml:space="preserve">  </v>
      </c>
      <c r="J43" s="15" t="str">
        <f>IF('Whole Building ccASHP Worksheet'!I23="","",'Whole Building ccASHP Worksheet'!I23)</f>
        <v/>
      </c>
      <c r="K43" s="14" t="str">
        <f>IF('Whole Building ccASHP Worksheet'!J23="","",'Whole Building ccASHP Worksheet'!J23)</f>
        <v/>
      </c>
      <c r="L43" s="15" t="str">
        <f>IF('Whole Building ccASHP Worksheet'!K23="","",'Whole Building ccASHP Worksheet'!K23)</f>
        <v/>
      </c>
      <c r="M43" s="13" t="str">
        <f>IF('Whole Building ccASHP Worksheet'!L23="","",'Whole Building ccASHP Worksheet'!L23)</f>
        <v/>
      </c>
      <c r="N43" s="13" t="str">
        <f>IF('Whole Building ccASHP Worksheet'!M23="","",'Whole Building ccASHP Worksheet'!M23)</f>
        <v/>
      </c>
      <c r="O43" s="13" t="str">
        <f>IF('Whole Building ccASHP Worksheet'!N23="","",'Whole Building ccASHP Worksheet'!N23)</f>
        <v/>
      </c>
      <c r="P43" s="15" t="str">
        <f t="shared" si="29"/>
        <v/>
      </c>
      <c r="Q43" s="13" t="str">
        <f t="shared" si="30"/>
        <v/>
      </c>
      <c r="R43" s="13" t="str">
        <f t="shared" si="31"/>
        <v/>
      </c>
      <c r="S43" s="13" t="str">
        <f t="shared" si="32"/>
        <v/>
      </c>
      <c r="T43" s="15" t="str">
        <f t="shared" si="35"/>
        <v/>
      </c>
      <c r="U43" s="13" t="str">
        <f t="shared" si="36"/>
        <v/>
      </c>
      <c r="V43" s="13" t="str">
        <f t="shared" si="37"/>
        <v/>
      </c>
      <c r="W43" s="13" t="str">
        <f t="shared" si="38"/>
        <v/>
      </c>
      <c r="X43" s="15" t="str">
        <f>'Whole Building ccASHP Worksheet'!BuildingType</f>
        <v>Select …</v>
      </c>
      <c r="Y43" s="530" t="e">
        <f>IF(OR(X43="",X43="… please select …"),0,INDEX(References!$H$22:$H$43,MATCH(X43,References!$G$22:$G$43,0)))</f>
        <v>#N/A</v>
      </c>
      <c r="Z43" s="61" t="e">
        <f>IF(OR(X43="",X43="… please select …"),0,INDEX(References!$I$22:$I$43,MATCH(X43,References!$G$22:$G$43,0)))</f>
        <v>#N/A</v>
      </c>
      <c r="AA43" s="15" t="str">
        <f>IF(OR('Whole Building ccASHP Worksheet'!P23="",'Whole Building ccASHP Worksheet'!P23=0),"",'Whole Building ccASHP Worksheet'!P23)</f>
        <v/>
      </c>
      <c r="AB43" s="13" t="str">
        <f>IF(OR('Whole Building ccASHP Worksheet'!Q23="",'Whole Building ccASHP Worksheet'!Q23=0),"",'Whole Building ccASHP Worksheet'!Q23)</f>
        <v/>
      </c>
      <c r="AC43" s="530" t="str">
        <f t="shared" si="39"/>
        <v/>
      </c>
      <c r="AD43" s="530" t="str">
        <f t="shared" si="40"/>
        <v/>
      </c>
      <c r="AE43" s="61" t="str">
        <f t="shared" si="41"/>
        <v/>
      </c>
      <c r="AF43" s="511" t="str">
        <f t="shared" si="42"/>
        <v>FAIL</v>
      </c>
      <c r="AG43" s="10">
        <v>4</v>
      </c>
      <c r="AH43" s="21" t="str">
        <f t="shared" si="43"/>
        <v xml:space="preserve">  </v>
      </c>
      <c r="AI43" s="21" t="str">
        <f>IF(OR('Whole Building ccASHP Worksheet'!X23="",'Whole Building ccASHP Worksheet'!X23="None"),IF($I43="  ","","Baseline "&amp;INDEX(References!$W$4:$W$44,MATCH($I43,References!$T$4:$T$44,0))),"Existing "&amp;'Whole Building ccASHP Worksheet'!X23)</f>
        <v/>
      </c>
      <c r="AJ43" s="21" t="str">
        <f>IF(OR('Whole Building ccASHP Worksheet'!Y23="",'Whole Building ccASHP Worksheet'!Y23="None"),IF($I43="  ","","Baseline "&amp;INDEX(References!$W$4:$W$44,MATCH($I43,References!$T$4:$T$44,0))),"Existing "&amp;'Whole Building ccASHP Worksheet'!Y23)</f>
        <v/>
      </c>
      <c r="AK43" s="342" t="str">
        <f>_xlfn.IFNA(IF(OR('Whole Building ccASHP Worksheet'!AB23=0,'Whole Building ccASHP Worksheet'!AB23=""),IF(LEFT(I43,3)="pac",0,INDEX(References!$BL$5:$BL$45,MATCH(I43,References!$AY$5:$AY$45,0))),'Whole Building ccASHP Worksheet'!AB23),"")</f>
        <v/>
      </c>
      <c r="AL43" s="343" t="str">
        <f>IF(I43="  ","",IF('Whole Building ccASHP Worksheet'!AC23="",IF(LEFT(I43,3)="Pac",(INDEX(References!$BM$4:$BM$44,MATCH(I43,References!$AY$4:$AY$44,0)))-(0.3*J43*12000/1000),INDEX(References!$BM$4:$BM$44,MATCH(I43,References!$AY$4:$AY$44,0))),'Whole Building ccASHP Worksheet'!AC23))</f>
        <v/>
      </c>
      <c r="AM43" s="343" t="str">
        <f>IF(I43="  ","",IF(OR($AJ43="Existing Gas",$AJ43="Existing Oil",$AJ43="Existing Propane"),0,IF(AND('Whole Building ccASHP Worksheet'!AD23=0,'Whole Building ccASHP Worksheet'!AE23=0),IF(LEFT(I43,3)="pac",0,INDEX(References!$BN$5:$BN$44,MATCH(I43,References!$AY$5:$AY$44,0))),IF(AND('Whole Building ccASHP Worksheet'!AD23=0,'Whole Building ccASHP Worksheet'!AE23&gt;0),'Whole Building ccASHP Worksheet'!AE23*References!$B$49,'Whole Building ccASHP Worksheet'!AD23))))</f>
        <v/>
      </c>
      <c r="AN43" s="343" t="str">
        <f>IF($I43="  ","",IF(OR($AJ43="Existing Gas",$AJ43="Existing Oil",$AJ43="Existing Propane"),0,IF(OR('Whole Building ccASHP Worksheet'!AE23="",'Whole Building ccASHP Worksheet'!AE23=0),IF(LEFT(I43,3)="Pac",(INDEX(References!$BN$5:$BN$44,MATCH(I43,References!$AY$5:$AY$44,0)))-INDEX(References!$BO$5:$BO$44,MATCH(I43,References!$AY$5:$AY$44,0))*J43*12000/1000,INDEX(References!$BO$5:$BO$44,MATCH(I43,References!$AY$5:$AY$44,0))),'Whole Building ccASHP Worksheet'!AE23)))</f>
        <v/>
      </c>
      <c r="AO43" s="521" t="str">
        <f>IF($I43="  ","",IF(OR($AJ43="Existing Gas",$AJ43="Existing Oil",$AJ43="Existing Propane"),IF(OR('Whole Building ccASHP Worksheet'!AF23="",'Whole Building ccASHP Worksheet'!AF23=0),INDEX(References!$E$136:$E$139,MATCH(AJ43,References!$D$136:$D$139,0)),'Whole Building ccASHP Worksheet'!AF23),0))</f>
        <v/>
      </c>
      <c r="AP43" s="349">
        <f>IF(OR('Whole Building ccASHP Worksheet'!$B$15="Integrated/Modulating Control",'Whole Building ccASHP Worksheet'!$B$15="No Fossil Fuel Heating"),IF(K43&gt;=AB43,1,0.9),0.9)</f>
        <v>0.9</v>
      </c>
      <c r="AQ43" s="521" t="str">
        <f>IF(C43="","",INDEX(References!$M$56:$M$66,MATCH(C43&amp;" "&amp;'Whole Building ccASHP Worksheet'!$B$15&amp;" "&amp;AP43,References!$L$56:$L$66,0)))</f>
        <v/>
      </c>
      <c r="AR43" s="521" t="str">
        <f>IF(C43="","",INDEX(References!$N$56:$N$66,MATCH(C43&amp;" "&amp;'Whole Building ccASHP Worksheet'!$B$15&amp;" "&amp;AP43,References!$L$56:$L$66,0)))</f>
        <v/>
      </c>
      <c r="AS43" s="521" t="str">
        <f>IF(C43="","",INDEX(References!$O$56:$O$66,MATCH(C43&amp;" "&amp;'Whole Building ccASHP Worksheet'!$B$15&amp;" "&amp;AP43,References!$L$56:$L$66,0)))</f>
        <v/>
      </c>
      <c r="AT43" s="521" t="str">
        <f>IF(C43="","",INDEX(References!$P$56:$P$66,MATCH(C43&amp;" "&amp;'Whole Building ccASHP Worksheet'!$B$15&amp;" "&amp;AP43,References!$L$56:$L$66,0)))</f>
        <v/>
      </c>
      <c r="AU43" s="521" t="str">
        <f>IF(C43="","",INDEX(References!$Q$56:$Q$66,MATCH(C43&amp;" "&amp;'Whole Building ccASHP Worksheet'!$B$15&amp;" "&amp;AP43,References!$L$56:$L$66,0)))</f>
        <v/>
      </c>
      <c r="AV43" s="521" t="str">
        <f>IF(C43="","",INDEX(References!$R$56:$R$66,MATCH(C43&amp;" "&amp;'Whole Building ccASHP Worksheet'!$B$15&amp;" "&amp;AP43,References!$L$56:$L$66,0)))</f>
        <v/>
      </c>
      <c r="AW43" s="521" t="str">
        <f>IF(C43="","",INDEX(References!$S$56:$S$66,MATCH(C43&amp;" "&amp;'Whole Building ccASHP Worksheet'!$B$15&amp;" "&amp;AP43,References!$L$56:$L$66,0)))</f>
        <v/>
      </c>
      <c r="AX43" s="521" t="str">
        <f>IF(AM43="","",IF(AM43&lt;8.5,References!$M$69,References!$M$70))</f>
        <v/>
      </c>
      <c r="AY43" s="521" t="str">
        <f t="shared" si="44"/>
        <v/>
      </c>
      <c r="AZ43" s="521" t="str">
        <f t="shared" si="45"/>
        <v/>
      </c>
      <c r="BA43" s="521" t="str">
        <f t="shared" si="46"/>
        <v/>
      </c>
      <c r="BB43" s="212" t="str">
        <f>IF(AF43="FAIL","",IF(AND(AL43&gt;0,M43&gt;0),ROUND((AA43/1000)*((1/AL43)-(1/M43)),References!$B$40),0))</f>
        <v/>
      </c>
      <c r="BC43" s="308" t="str">
        <f>IF(AF43="FAIL","",IF(AND(AM43&gt;0,N43&gt;0),ROUND((AB43/1000)*((1/(AM43/3.412))-(1/(N43/3.412))),References!$B$40),ROUND((AB43/1000)*-(1/(N43/3.412)),References!$B$40)))</f>
        <v/>
      </c>
      <c r="BD43" s="308" t="str">
        <f>IF(AF43="FAIL","",IF(AND(AK43=0,AL43=0),0,IF(AK43&gt;0,ROUND((AA43/1000)*((1/AK43)-(1/AY43))*Y43*AV43,References!$B$43),ROUND((AA43/1000)*((1/AL43)-(1/AY43))*Y43*AV43,References!$B$43))))</f>
        <v/>
      </c>
      <c r="BE43" s="308" t="str">
        <f>IF(BD43="","",BD43*References!$B$29)</f>
        <v/>
      </c>
      <c r="BF43" s="308" t="str">
        <f t="shared" si="47"/>
        <v/>
      </c>
      <c r="BG43" s="308" t="str">
        <f>IF(AF43="FAIL","",IF(AND(AZ43&gt;0,BA43&gt;0),ROUND((AB43/1000)*((1/BA43)-(1/AZ43))*Z43*AW43/3.413,References!$B$43),0))</f>
        <v/>
      </c>
      <c r="BH43" s="308" t="str">
        <f>IF(AF43="FAIL","",IF(AND(OR($AJ43="Existing Gas",$AJ43="Existing Oil",$AJ43="Existing Propane"),RIGHT(C43,10)="Heat Pumps"),IF(AND(AZ43&gt;0,AZ43&lt;&gt;""),ROUND(((AB43/1000)*((1/AZ43))*Z43*AW43/3.412),References!$B$43),0),0))</f>
        <v/>
      </c>
      <c r="BI43" s="308" t="str">
        <f>IF(AF43="FAIL","",(BG43*References!$B$29)-(BH43*References!$B$29))</f>
        <v/>
      </c>
      <c r="BJ43" s="308" t="str">
        <f t="shared" si="48"/>
        <v/>
      </c>
      <c r="BK43" s="308" t="str">
        <f t="shared" si="49"/>
        <v/>
      </c>
      <c r="BL43" s="343" t="str">
        <f t="shared" si="50"/>
        <v/>
      </c>
      <c r="BM43" s="343" t="str">
        <f t="shared" si="51"/>
        <v/>
      </c>
      <c r="BN43" s="343" t="str">
        <f t="shared" si="52"/>
        <v/>
      </c>
      <c r="BO43" s="649" t="str">
        <f t="shared" si="53"/>
        <v/>
      </c>
      <c r="BP43" s="649" t="str">
        <f t="shared" si="54"/>
        <v/>
      </c>
      <c r="BQ43" s="650" t="str">
        <f t="shared" si="55"/>
        <v/>
      </c>
      <c r="BR43" s="343" t="str">
        <f t="shared" si="56"/>
        <v/>
      </c>
      <c r="BS43" s="558">
        <f t="shared" si="57"/>
        <v>0</v>
      </c>
      <c r="BT43" s="566" t="e">
        <f t="shared" si="58"/>
        <v>#VALUE!</v>
      </c>
      <c r="BU43" s="526">
        <f t="shared" si="59"/>
        <v>0</v>
      </c>
      <c r="BX43" s="565" t="str">
        <f t="shared" si="33"/>
        <v xml:space="preserve">   All Other</v>
      </c>
      <c r="BY43" s="89" t="str">
        <f>IF(AF43="Fail","",INDEX(References!$AH$4:$AH$86,MATCH(Calculations!BX43,References!$AG$4:$AG$86,0)))</f>
        <v/>
      </c>
      <c r="BZ43" s="89" t="str">
        <f>IF(AF43="FAIL","",BL43*References!$B$21+IF(BM43&gt;0,BM43*References!$B$25,0))</f>
        <v/>
      </c>
      <c r="CA43" s="89" t="str">
        <f>IF(AF43="FAIL","",IF(BM43&gt;0,0,BM43)*References!$B$25+BF43*INDEX(References!$F$136:$F$142,MATCH(IF(LEFT(AJ43,8)="Baseline",LEFT(AJ43,8),AJ43),References!$D$136:$D$142,0)))</f>
        <v/>
      </c>
      <c r="CB43" s="89">
        <f>IF(BY43="",0,ROUND(INDEX(References!$E$118:$E$132,MATCH('Whole Building ccASHP Worksheet'!B23,References!$D$118:$D$132,0))*BB43,References!$B$40))</f>
        <v>0</v>
      </c>
    </row>
    <row r="44" spans="2:80" x14ac:dyDescent="0.3">
      <c r="B44" s="11">
        <v>5</v>
      </c>
      <c r="C44" s="15" t="str">
        <f>IF('Whole Building ccASHP Worksheet'!B24="","",'Whole Building ccASHP Worksheet'!B24)</f>
        <v/>
      </c>
      <c r="D44" s="13" t="str">
        <f>IF('Whole Building ccASHP Worksheet'!C24="","",'Whole Building ccASHP Worksheet'!C24)</f>
        <v/>
      </c>
      <c r="E44" s="13" t="str">
        <f>IF('Whole Building ccASHP Worksheet'!E24="","",'Whole Building ccASHP Worksheet'!E24)</f>
        <v/>
      </c>
      <c r="F44" s="13" t="str">
        <f>IF('Whole Building ccASHP Worksheet'!X24="","",'Whole Building ccASHP Worksheet'!X24)</f>
        <v/>
      </c>
      <c r="G44" s="13" t="str">
        <f>IF('Whole Building ccASHP Worksheet'!Y24="","",'Whole Building ccASHP Worksheet'!Y24)</f>
        <v/>
      </c>
      <c r="H44" s="565" t="str">
        <f t="shared" si="34"/>
        <v xml:space="preserve"> All Other</v>
      </c>
      <c r="I44" s="511" t="str">
        <f t="shared" si="28"/>
        <v xml:space="preserve">  </v>
      </c>
      <c r="J44" s="15" t="str">
        <f>IF('Whole Building ccASHP Worksheet'!I24="","",'Whole Building ccASHP Worksheet'!I24)</f>
        <v/>
      </c>
      <c r="K44" s="14" t="str">
        <f>IF('Whole Building ccASHP Worksheet'!J24="","",'Whole Building ccASHP Worksheet'!J24)</f>
        <v/>
      </c>
      <c r="L44" s="15" t="str">
        <f>IF('Whole Building ccASHP Worksheet'!K24="","",'Whole Building ccASHP Worksheet'!K24)</f>
        <v/>
      </c>
      <c r="M44" s="13" t="str">
        <f>IF('Whole Building ccASHP Worksheet'!L24="","",'Whole Building ccASHP Worksheet'!L24)</f>
        <v/>
      </c>
      <c r="N44" s="13" t="str">
        <f>IF('Whole Building ccASHP Worksheet'!M24="","",'Whole Building ccASHP Worksheet'!M24)</f>
        <v/>
      </c>
      <c r="O44" s="13" t="str">
        <f>IF('Whole Building ccASHP Worksheet'!N24="","",'Whole Building ccASHP Worksheet'!N24)</f>
        <v/>
      </c>
      <c r="P44" s="15" t="str">
        <f t="shared" si="29"/>
        <v/>
      </c>
      <c r="Q44" s="13" t="str">
        <f t="shared" si="30"/>
        <v/>
      </c>
      <c r="R44" s="13" t="str">
        <f t="shared" si="31"/>
        <v/>
      </c>
      <c r="S44" s="13" t="str">
        <f t="shared" si="32"/>
        <v/>
      </c>
      <c r="T44" s="15" t="str">
        <f t="shared" si="35"/>
        <v/>
      </c>
      <c r="U44" s="13" t="str">
        <f t="shared" si="36"/>
        <v/>
      </c>
      <c r="V44" s="13" t="str">
        <f t="shared" si="37"/>
        <v/>
      </c>
      <c r="W44" s="13" t="str">
        <f t="shared" si="38"/>
        <v/>
      </c>
      <c r="X44" s="15" t="str">
        <f>'Whole Building ccASHP Worksheet'!BuildingType</f>
        <v>Select …</v>
      </c>
      <c r="Y44" s="530" t="e">
        <f>IF(OR(X44="",X44="… please select …"),0,INDEX(References!$H$22:$H$43,MATCH(X44,References!$G$22:$G$43,0)))</f>
        <v>#N/A</v>
      </c>
      <c r="Z44" s="61" t="e">
        <f>IF(OR(X44="",X44="… please select …"),0,INDEX(References!$I$22:$I$43,MATCH(X44,References!$G$22:$G$43,0)))</f>
        <v>#N/A</v>
      </c>
      <c r="AA44" s="15" t="str">
        <f>IF(OR('Whole Building ccASHP Worksheet'!P24="",'Whole Building ccASHP Worksheet'!P24=0),"",'Whole Building ccASHP Worksheet'!P24)</f>
        <v/>
      </c>
      <c r="AB44" s="13" t="str">
        <f>IF(OR('Whole Building ccASHP Worksheet'!Q24="",'Whole Building ccASHP Worksheet'!Q24=0),"",'Whole Building ccASHP Worksheet'!Q24)</f>
        <v/>
      </c>
      <c r="AC44" s="530" t="str">
        <f t="shared" si="39"/>
        <v/>
      </c>
      <c r="AD44" s="530" t="str">
        <f t="shared" si="40"/>
        <v/>
      </c>
      <c r="AE44" s="61" t="str">
        <f t="shared" si="41"/>
        <v/>
      </c>
      <c r="AF44" s="511" t="str">
        <f t="shared" si="42"/>
        <v>FAIL</v>
      </c>
      <c r="AG44" s="10">
        <v>5</v>
      </c>
      <c r="AH44" s="21" t="str">
        <f t="shared" si="43"/>
        <v xml:space="preserve">  </v>
      </c>
      <c r="AI44" s="21" t="str">
        <f>IF(OR('Whole Building ccASHP Worksheet'!X24="",'Whole Building ccASHP Worksheet'!X24="None"),IF($I44="  ","","Baseline "&amp;INDEX(References!$W$4:$W$44,MATCH($I44,References!$T$4:$T$44,0))),"Existing "&amp;'Whole Building ccASHP Worksheet'!X24)</f>
        <v/>
      </c>
      <c r="AJ44" s="21" t="str">
        <f>IF(OR('Whole Building ccASHP Worksheet'!Y24="",'Whole Building ccASHP Worksheet'!Y24="None"),IF($I44="  ","","Baseline "&amp;INDEX(References!$W$4:$W$44,MATCH($I44,References!$T$4:$T$44,0))),"Existing "&amp;'Whole Building ccASHP Worksheet'!Y24)</f>
        <v/>
      </c>
      <c r="AK44" s="342" t="str">
        <f>_xlfn.IFNA(IF(OR('Whole Building ccASHP Worksheet'!AB24=0,'Whole Building ccASHP Worksheet'!AB24=""),IF(LEFT(I44,3)="pac",0,INDEX(References!$BL$5:$BL$45,MATCH(I44,References!$AY$5:$AY$45,0))),'Whole Building ccASHP Worksheet'!AB24),"")</f>
        <v/>
      </c>
      <c r="AL44" s="343" t="str">
        <f>IF(I44="  ","",IF('Whole Building ccASHP Worksheet'!AC24="",IF(LEFT(I44,3)="Pac",(INDEX(References!$BM$4:$BM$44,MATCH(I44,References!$AY$4:$AY$44,0)))-(0.3*J44*12000/1000),INDEX(References!$BM$4:$BM$44,MATCH(I44,References!$AY$4:$AY$44,0))),'Whole Building ccASHP Worksheet'!AC24))</f>
        <v/>
      </c>
      <c r="AM44" s="343" t="str">
        <f>IF(I44="  ","",IF(OR($AJ44="Existing Gas",$AJ44="Existing Oil",$AJ44="Existing Propane"),0,IF(AND('Whole Building ccASHP Worksheet'!AD24=0,'Whole Building ccASHP Worksheet'!AE24=0),IF(LEFT(I44,3)="pac",0,INDEX(References!$BN$5:$BN$44,MATCH(I44,References!$AY$5:$AY$44,0))),IF(AND('Whole Building ccASHP Worksheet'!AD24=0,'Whole Building ccASHP Worksheet'!AE24&gt;0),'Whole Building ccASHP Worksheet'!AE24*References!$B$49,'Whole Building ccASHP Worksheet'!AD24))))</f>
        <v/>
      </c>
      <c r="AN44" s="343" t="str">
        <f>IF($I44="  ","",IF(OR($AJ44="Existing Gas",$AJ44="Existing Oil",$AJ44="Existing Propane"),0,IF(OR('Whole Building ccASHP Worksheet'!AE24="",'Whole Building ccASHP Worksheet'!AE24=0),IF(LEFT(I44,3)="Pac",(INDEX(References!$BN$5:$BN$44,MATCH(I44,References!$AY$5:$AY$44,0)))-INDEX(References!$BO$5:$BO$44,MATCH(I44,References!$AY$5:$AY$44,0))*J44*12000/1000,INDEX(References!$BO$5:$BO$44,MATCH(I44,References!$AY$5:$AY$44,0))),'Whole Building ccASHP Worksheet'!AE24)))</f>
        <v/>
      </c>
      <c r="AO44" s="521" t="str">
        <f>IF($I44="  ","",IF(OR($AJ44="Existing Gas",$AJ44="Existing Oil",$AJ44="Existing Propane"),IF(OR('Whole Building ccASHP Worksheet'!AF24="",'Whole Building ccASHP Worksheet'!AF24=0),INDEX(References!$E$136:$E$139,MATCH(AJ44,References!$D$136:$D$139,0)),'Whole Building ccASHP Worksheet'!AF24),0))</f>
        <v/>
      </c>
      <c r="AP44" s="349">
        <f>IF(OR('Whole Building ccASHP Worksheet'!$B$15="Integrated/Modulating Control",'Whole Building ccASHP Worksheet'!$B$15="No Fossil Fuel Heating"),IF(K44&gt;=AB44,1,0.9),0.9)</f>
        <v>0.9</v>
      </c>
      <c r="AQ44" s="521" t="str">
        <f>IF(C44="","",INDEX(References!$M$56:$M$66,MATCH(C44&amp;" "&amp;'Whole Building ccASHP Worksheet'!$B$15&amp;" "&amp;AP44,References!$L$56:$L$66,0)))</f>
        <v/>
      </c>
      <c r="AR44" s="521" t="str">
        <f>IF(C44="","",INDEX(References!$N$56:$N$66,MATCH(C44&amp;" "&amp;'Whole Building ccASHP Worksheet'!$B$15&amp;" "&amp;AP44,References!$L$56:$L$66,0)))</f>
        <v/>
      </c>
      <c r="AS44" s="521" t="str">
        <f>IF(C44="","",INDEX(References!$O$56:$O$66,MATCH(C44&amp;" "&amp;'Whole Building ccASHP Worksheet'!$B$15&amp;" "&amp;AP44,References!$L$56:$L$66,0)))</f>
        <v/>
      </c>
      <c r="AT44" s="521" t="str">
        <f>IF(C44="","",INDEX(References!$P$56:$P$66,MATCH(C44&amp;" "&amp;'Whole Building ccASHP Worksheet'!$B$15&amp;" "&amp;AP44,References!$L$56:$L$66,0)))</f>
        <v/>
      </c>
      <c r="AU44" s="521" t="str">
        <f>IF(C44="","",INDEX(References!$Q$56:$Q$66,MATCH(C44&amp;" "&amp;'Whole Building ccASHP Worksheet'!$B$15&amp;" "&amp;AP44,References!$L$56:$L$66,0)))</f>
        <v/>
      </c>
      <c r="AV44" s="521" t="str">
        <f>IF(C44="","",INDEX(References!$R$56:$R$66,MATCH(C44&amp;" "&amp;'Whole Building ccASHP Worksheet'!$B$15&amp;" "&amp;AP44,References!$L$56:$L$66,0)))</f>
        <v/>
      </c>
      <c r="AW44" s="521" t="str">
        <f>IF(C44="","",INDEX(References!$S$56:$S$66,MATCH(C44&amp;" "&amp;'Whole Building ccASHP Worksheet'!$B$15&amp;" "&amp;AP44,References!$L$56:$L$66,0)))</f>
        <v/>
      </c>
      <c r="AX44" s="521" t="str">
        <f>IF(AM44="","",IF(AM44&lt;8.5,References!$M$69,References!$M$70))</f>
        <v/>
      </c>
      <c r="AY44" s="521" t="str">
        <f t="shared" si="44"/>
        <v/>
      </c>
      <c r="AZ44" s="521" t="str">
        <f t="shared" si="45"/>
        <v/>
      </c>
      <c r="BA44" s="521" t="str">
        <f t="shared" si="46"/>
        <v/>
      </c>
      <c r="BB44" s="212" t="str">
        <f>IF(AF44="FAIL","",IF(AND(AL44&gt;0,M44&gt;0),ROUND((AA44/1000)*((1/AL44)-(1/M44)),References!$B$40),0))</f>
        <v/>
      </c>
      <c r="BC44" s="308" t="str">
        <f>IF(AF44="FAIL","",IF(AND(AM44&gt;0,N44&gt;0),ROUND((AB44/1000)*((1/(AM44/3.412))-(1/(N44/3.412))),References!$B$40),ROUND((AB44/1000)*-(1/(N44/3.412)),References!$B$40)))</f>
        <v/>
      </c>
      <c r="BD44" s="308" t="str">
        <f>IF(AF44="FAIL","",IF(AND(AK44=0,AL44=0),0,IF(AK44&gt;0,ROUND((AA44/1000)*((1/AK44)-(1/AY44))*Y44*AV44,References!$B$43),ROUND((AA44/1000)*((1/AL44)-(1/AY44))*Y44*AV44,References!$B$43))))</f>
        <v/>
      </c>
      <c r="BE44" s="308" t="str">
        <f>IF(BD44="","",BD44*References!$B$29)</f>
        <v/>
      </c>
      <c r="BF44" s="308" t="str">
        <f t="shared" si="47"/>
        <v/>
      </c>
      <c r="BG44" s="308" t="str">
        <f>IF(AF44="FAIL","",IF(AND(AZ44&gt;0,BA44&gt;0),ROUND((AB44/1000)*((1/BA44)-(1/AZ44))*Z44*AW44/3.413,References!$B$43),0))</f>
        <v/>
      </c>
      <c r="BH44" s="308" t="str">
        <f>IF(AF44="FAIL","",IF(AND(OR($AJ44="Existing Gas",$AJ44="Existing Oil",$AJ44="Existing Propane"),RIGHT(C44,10)="Heat Pumps"),IF(AND(AZ44&gt;0,AZ44&lt;&gt;""),ROUND(((AB44/1000)*((1/AZ44))*Z44*AW44/3.412),References!$B$43),0),0))</f>
        <v/>
      </c>
      <c r="BI44" s="308" t="str">
        <f>IF(AF44="FAIL","",(BG44*References!$B$29)-(BH44*References!$B$29))</f>
        <v/>
      </c>
      <c r="BJ44" s="308" t="str">
        <f t="shared" si="48"/>
        <v/>
      </c>
      <c r="BK44" s="308" t="str">
        <f t="shared" si="49"/>
        <v/>
      </c>
      <c r="BL44" s="343" t="str">
        <f t="shared" si="50"/>
        <v/>
      </c>
      <c r="BM44" s="343" t="str">
        <f t="shared" si="51"/>
        <v/>
      </c>
      <c r="BN44" s="343" t="str">
        <f t="shared" si="52"/>
        <v/>
      </c>
      <c r="BO44" s="649" t="str">
        <f t="shared" si="53"/>
        <v/>
      </c>
      <c r="BP44" s="649" t="str">
        <f t="shared" si="54"/>
        <v/>
      </c>
      <c r="BQ44" s="650" t="str">
        <f t="shared" si="55"/>
        <v/>
      </c>
      <c r="BR44" s="343" t="str">
        <f t="shared" si="56"/>
        <v/>
      </c>
      <c r="BS44" s="558">
        <f t="shared" si="57"/>
        <v>0</v>
      </c>
      <c r="BT44" s="566" t="e">
        <f t="shared" si="58"/>
        <v>#VALUE!</v>
      </c>
      <c r="BU44" s="526">
        <f t="shared" si="59"/>
        <v>0</v>
      </c>
      <c r="BX44" s="565" t="str">
        <f t="shared" si="33"/>
        <v xml:space="preserve">   All Other</v>
      </c>
      <c r="BY44" s="89" t="str">
        <f>IF(AF44="Fail","",INDEX(References!$AH$4:$AH$86,MATCH(Calculations!BX44,References!$AG$4:$AG$86,0)))</f>
        <v/>
      </c>
      <c r="BZ44" s="89" t="str">
        <f>IF(AF44="FAIL","",BL44*References!$B$21+IF(BM44&gt;0,BM44*References!$B$25,0))</f>
        <v/>
      </c>
      <c r="CA44" s="89" t="str">
        <f>IF(AF44="FAIL","",IF(BM44&gt;0,0,BM44)*References!$B$25+BF44*INDEX(References!$F$136:$F$142,MATCH(IF(LEFT(AJ44,8)="Baseline",LEFT(AJ44,8),AJ44),References!$D$136:$D$142,0)))</f>
        <v/>
      </c>
      <c r="CB44" s="89">
        <f>IF(BY44="",0,ROUND(INDEX(References!$E$118:$E$132,MATCH('Whole Building ccASHP Worksheet'!B24,References!$D$118:$D$132,0))*BB44,References!$B$40))</f>
        <v>0</v>
      </c>
    </row>
    <row r="45" spans="2:80" x14ac:dyDescent="0.3">
      <c r="B45" s="11">
        <v>6</v>
      </c>
      <c r="C45" s="15" t="str">
        <f>IF('Whole Building ccASHP Worksheet'!B25="","",'Whole Building ccASHP Worksheet'!B25)</f>
        <v/>
      </c>
      <c r="D45" s="13" t="str">
        <f>IF('Whole Building ccASHP Worksheet'!C25="","",'Whole Building ccASHP Worksheet'!C25)</f>
        <v/>
      </c>
      <c r="E45" s="13" t="str">
        <f>IF('Whole Building ccASHP Worksheet'!E25="","",'Whole Building ccASHP Worksheet'!E25)</f>
        <v/>
      </c>
      <c r="F45" s="13" t="str">
        <f>IF('Whole Building ccASHP Worksheet'!X25="","",'Whole Building ccASHP Worksheet'!X25)</f>
        <v/>
      </c>
      <c r="G45" s="13" t="str">
        <f>IF('Whole Building ccASHP Worksheet'!Y25="","",'Whole Building ccASHP Worksheet'!Y25)</f>
        <v/>
      </c>
      <c r="H45" s="565" t="str">
        <f t="shared" si="34"/>
        <v xml:space="preserve"> All Other</v>
      </c>
      <c r="I45" s="511" t="str">
        <f t="shared" si="28"/>
        <v xml:space="preserve">  </v>
      </c>
      <c r="J45" s="15" t="str">
        <f>IF('Whole Building ccASHP Worksheet'!I25="","",'Whole Building ccASHP Worksheet'!I25)</f>
        <v/>
      </c>
      <c r="K45" s="14" t="str">
        <f>IF('Whole Building ccASHP Worksheet'!J25="","",'Whole Building ccASHP Worksheet'!J25)</f>
        <v/>
      </c>
      <c r="L45" s="15" t="str">
        <f>IF('Whole Building ccASHP Worksheet'!K25="","",'Whole Building ccASHP Worksheet'!K25)</f>
        <v/>
      </c>
      <c r="M45" s="13" t="str">
        <f>IF('Whole Building ccASHP Worksheet'!L25="","",'Whole Building ccASHP Worksheet'!L25)</f>
        <v/>
      </c>
      <c r="N45" s="13" t="str">
        <f>IF('Whole Building ccASHP Worksheet'!M25="","",'Whole Building ccASHP Worksheet'!M25)</f>
        <v/>
      </c>
      <c r="O45" s="13" t="str">
        <f>IF('Whole Building ccASHP Worksheet'!N25="","",'Whole Building ccASHP Worksheet'!N25)</f>
        <v/>
      </c>
      <c r="P45" s="15" t="str">
        <f t="shared" si="29"/>
        <v/>
      </c>
      <c r="Q45" s="13" t="str">
        <f t="shared" si="30"/>
        <v/>
      </c>
      <c r="R45" s="13" t="str">
        <f t="shared" si="31"/>
        <v/>
      </c>
      <c r="S45" s="13" t="str">
        <f t="shared" si="32"/>
        <v/>
      </c>
      <c r="T45" s="15" t="str">
        <f t="shared" si="35"/>
        <v/>
      </c>
      <c r="U45" s="13" t="str">
        <f t="shared" si="36"/>
        <v/>
      </c>
      <c r="V45" s="13" t="str">
        <f t="shared" si="37"/>
        <v/>
      </c>
      <c r="W45" s="13" t="str">
        <f t="shared" si="38"/>
        <v/>
      </c>
      <c r="X45" s="15" t="str">
        <f>'Whole Building ccASHP Worksheet'!BuildingType</f>
        <v>Select …</v>
      </c>
      <c r="Y45" s="530" t="e">
        <f>IF(OR(X45="",X45="… please select …"),0,INDEX(References!$H$22:$H$43,MATCH(X45,References!$G$22:$G$43,0)))</f>
        <v>#N/A</v>
      </c>
      <c r="Z45" s="61" t="e">
        <f>IF(OR(X45="",X45="… please select …"),0,INDEX(References!$I$22:$I$43,MATCH(X45,References!$G$22:$G$43,0)))</f>
        <v>#N/A</v>
      </c>
      <c r="AA45" s="15" t="str">
        <f>IF(OR('Whole Building ccASHP Worksheet'!P25="",'Whole Building ccASHP Worksheet'!P25=0),"",'Whole Building ccASHP Worksheet'!P25)</f>
        <v/>
      </c>
      <c r="AB45" s="13" t="str">
        <f>IF(OR('Whole Building ccASHP Worksheet'!Q25="",'Whole Building ccASHP Worksheet'!Q25=0),"",'Whole Building ccASHP Worksheet'!Q25)</f>
        <v/>
      </c>
      <c r="AC45" s="530" t="str">
        <f t="shared" si="39"/>
        <v/>
      </c>
      <c r="AD45" s="530" t="str">
        <f t="shared" si="40"/>
        <v/>
      </c>
      <c r="AE45" s="61" t="str">
        <f t="shared" si="41"/>
        <v/>
      </c>
      <c r="AF45" s="511" t="str">
        <f t="shared" si="42"/>
        <v>FAIL</v>
      </c>
      <c r="AG45" s="10">
        <v>6</v>
      </c>
      <c r="AH45" s="21" t="str">
        <f t="shared" si="43"/>
        <v xml:space="preserve">  </v>
      </c>
      <c r="AI45" s="21" t="str">
        <f>IF(OR('Whole Building ccASHP Worksheet'!X25="",'Whole Building ccASHP Worksheet'!X25="None"),IF($I45="  ","","Baseline "&amp;INDEX(References!$W$4:$W$44,MATCH($I45,References!$T$4:$T$44,0))),"Existing "&amp;'Whole Building ccASHP Worksheet'!X25)</f>
        <v/>
      </c>
      <c r="AJ45" s="21" t="str">
        <f>IF(OR('Whole Building ccASHP Worksheet'!Y25="",'Whole Building ccASHP Worksheet'!Y25="None"),IF($I45="  ","","Baseline "&amp;INDEX(References!$W$4:$W$44,MATCH($I45,References!$T$4:$T$44,0))),"Existing "&amp;'Whole Building ccASHP Worksheet'!Y25)</f>
        <v/>
      </c>
      <c r="AK45" s="342" t="str">
        <f>_xlfn.IFNA(IF(OR('Whole Building ccASHP Worksheet'!AB25=0,'Whole Building ccASHP Worksheet'!AB25=""),IF(LEFT(I45,3)="pac",0,INDEX(References!$BL$5:$BL$45,MATCH(I45,References!$AY$5:$AY$45,0))),'Whole Building ccASHP Worksheet'!AB25),"")</f>
        <v/>
      </c>
      <c r="AL45" s="343" t="str">
        <f>IF(I45="  ","",IF('Whole Building ccASHP Worksheet'!AC25="",IF(LEFT(I45,3)="Pac",(INDEX(References!$BM$4:$BM$44,MATCH(I45,References!$AY$4:$AY$44,0)))-(0.3*J45*12000/1000),INDEX(References!$BM$4:$BM$44,MATCH(I45,References!$AY$4:$AY$44,0))),'Whole Building ccASHP Worksheet'!AC25))</f>
        <v/>
      </c>
      <c r="AM45" s="343" t="str">
        <f>IF(I45="  ","",IF(OR($AJ45="Existing Gas",$AJ45="Existing Oil",$AJ45="Existing Propane"),0,IF(AND('Whole Building ccASHP Worksheet'!AD25=0,'Whole Building ccASHP Worksheet'!AE25=0),IF(LEFT(I45,3)="pac",0,INDEX(References!$BN$5:$BN$44,MATCH(I45,References!$AY$5:$AY$44,0))),IF(AND('Whole Building ccASHP Worksheet'!AD25=0,'Whole Building ccASHP Worksheet'!AE25&gt;0),'Whole Building ccASHP Worksheet'!AE25*References!$B$49,'Whole Building ccASHP Worksheet'!AD25))))</f>
        <v/>
      </c>
      <c r="AN45" s="343" t="str">
        <f>IF($I45="  ","",IF(OR($AJ45="Existing Gas",$AJ45="Existing Oil",$AJ45="Existing Propane"),0,IF(OR('Whole Building ccASHP Worksheet'!AE25="",'Whole Building ccASHP Worksheet'!AE25=0),IF(LEFT(I45,3)="Pac",(INDEX(References!$BN$5:$BN$44,MATCH(I45,References!$AY$5:$AY$44,0)))-INDEX(References!$BO$5:$BO$44,MATCH(I45,References!$AY$5:$AY$44,0))*J45*12000/1000,INDEX(References!$BO$5:$BO$44,MATCH(I45,References!$AY$5:$AY$44,0))),'Whole Building ccASHP Worksheet'!AE25)))</f>
        <v/>
      </c>
      <c r="AO45" s="521" t="str">
        <f>IF($I45="  ","",IF(OR($AJ45="Existing Gas",$AJ45="Existing Oil",$AJ45="Existing Propane"),IF(OR('Whole Building ccASHP Worksheet'!AF25="",'Whole Building ccASHP Worksheet'!AF25=0),INDEX(References!$E$136:$E$139,MATCH(AJ45,References!$D$136:$D$139,0)),'Whole Building ccASHP Worksheet'!AF25),0))</f>
        <v/>
      </c>
      <c r="AP45" s="349">
        <f>IF(OR('Whole Building ccASHP Worksheet'!$B$15="Integrated/Modulating Control",'Whole Building ccASHP Worksheet'!$B$15="No Fossil Fuel Heating"),IF(K45&gt;=AB45,1,0.9),0.9)</f>
        <v>0.9</v>
      </c>
      <c r="AQ45" s="521" t="str">
        <f>IF(C45="","",INDEX(References!$M$56:$M$66,MATCH(C45&amp;" "&amp;'Whole Building ccASHP Worksheet'!$B$15&amp;" "&amp;AP45,References!$L$56:$L$66,0)))</f>
        <v/>
      </c>
      <c r="AR45" s="521" t="str">
        <f>IF(C45="","",INDEX(References!$N$56:$N$66,MATCH(C45&amp;" "&amp;'Whole Building ccASHP Worksheet'!$B$15&amp;" "&amp;AP45,References!$L$56:$L$66,0)))</f>
        <v/>
      </c>
      <c r="AS45" s="521" t="str">
        <f>IF(C45="","",INDEX(References!$O$56:$O$66,MATCH(C45&amp;" "&amp;'Whole Building ccASHP Worksheet'!$B$15&amp;" "&amp;AP45,References!$L$56:$L$66,0)))</f>
        <v/>
      </c>
      <c r="AT45" s="521" t="str">
        <f>IF(C45="","",INDEX(References!$P$56:$P$66,MATCH(C45&amp;" "&amp;'Whole Building ccASHP Worksheet'!$B$15&amp;" "&amp;AP45,References!$L$56:$L$66,0)))</f>
        <v/>
      </c>
      <c r="AU45" s="521" t="str">
        <f>IF(C45="","",INDEX(References!$Q$56:$Q$66,MATCH(C45&amp;" "&amp;'Whole Building ccASHP Worksheet'!$B$15&amp;" "&amp;AP45,References!$L$56:$L$66,0)))</f>
        <v/>
      </c>
      <c r="AV45" s="521" t="str">
        <f>IF(C45="","",INDEX(References!$R$56:$R$66,MATCH(C45&amp;" "&amp;'Whole Building ccASHP Worksheet'!$B$15&amp;" "&amp;AP45,References!$L$56:$L$66,0)))</f>
        <v/>
      </c>
      <c r="AW45" s="521" t="str">
        <f>IF(C45="","",INDEX(References!$S$56:$S$66,MATCH(C45&amp;" "&amp;'Whole Building ccASHP Worksheet'!$B$15&amp;" "&amp;AP45,References!$L$56:$L$66,0)))</f>
        <v/>
      </c>
      <c r="AX45" s="521" t="str">
        <f>IF(AM45="","",IF(AM45&lt;8.5,References!$M$69,References!$M$70))</f>
        <v/>
      </c>
      <c r="AY45" s="521" t="str">
        <f t="shared" si="44"/>
        <v/>
      </c>
      <c r="AZ45" s="521" t="str">
        <f t="shared" si="45"/>
        <v/>
      </c>
      <c r="BA45" s="521" t="str">
        <f t="shared" si="46"/>
        <v/>
      </c>
      <c r="BB45" s="212" t="str">
        <f>IF(AF45="FAIL","",IF(AND(AL45&gt;0,M45&gt;0),ROUND((AA45/1000)*((1/AL45)-(1/M45)),References!$B$40),0))</f>
        <v/>
      </c>
      <c r="BC45" s="308" t="str">
        <f>IF(AF45="FAIL","",IF(AND(AM45&gt;0,N45&gt;0),ROUND((AB45/1000)*((1/(AM45/3.412))-(1/(N45/3.412))),References!$B$40),ROUND((AB45/1000)*-(1/(N45/3.412)),References!$B$40)))</f>
        <v/>
      </c>
      <c r="BD45" s="308" t="str">
        <f>IF(AF45="FAIL","",IF(AND(AK45=0,AL45=0),0,IF(AK45&gt;0,ROUND((AA45/1000)*((1/AK45)-(1/AY45))*Y45*AV45,References!$B$43),ROUND((AA45/1000)*((1/AL45)-(1/AY45))*Y45*AV45,References!$B$43))))</f>
        <v/>
      </c>
      <c r="BE45" s="308" t="str">
        <f>IF(BD45="","",BD45*References!$B$29)</f>
        <v/>
      </c>
      <c r="BF45" s="308" t="str">
        <f t="shared" si="47"/>
        <v/>
      </c>
      <c r="BG45" s="308" t="str">
        <f>IF(AF45="FAIL","",IF(AND(AZ45&gt;0,BA45&gt;0),ROUND((AB45/1000)*((1/BA45)-(1/AZ45))*Z45*AW45/3.413,References!$B$43),0))</f>
        <v/>
      </c>
      <c r="BH45" s="308" t="str">
        <f>IF(AF45="FAIL","",IF(AND(OR($AJ45="Existing Gas",$AJ45="Existing Oil",$AJ45="Existing Propane"),RIGHT(C45,10)="Heat Pumps"),IF(AND(AZ45&gt;0,AZ45&lt;&gt;""),ROUND(((AB45/1000)*((1/AZ45))*Z45*AW45/3.412),References!$B$43),0),0))</f>
        <v/>
      </c>
      <c r="BI45" s="308" t="str">
        <f>IF(AF45="FAIL","",(BG45*References!$B$29)-(BH45*References!$B$29))</f>
        <v/>
      </c>
      <c r="BJ45" s="308" t="str">
        <f t="shared" si="48"/>
        <v/>
      </c>
      <c r="BK45" s="308" t="str">
        <f t="shared" si="49"/>
        <v/>
      </c>
      <c r="BL45" s="343" t="str">
        <f t="shared" si="50"/>
        <v/>
      </c>
      <c r="BM45" s="343" t="str">
        <f t="shared" si="51"/>
        <v/>
      </c>
      <c r="BN45" s="343" t="str">
        <f t="shared" si="52"/>
        <v/>
      </c>
      <c r="BO45" s="649" t="str">
        <f t="shared" si="53"/>
        <v/>
      </c>
      <c r="BP45" s="649" t="str">
        <f t="shared" si="54"/>
        <v/>
      </c>
      <c r="BQ45" s="650" t="str">
        <f t="shared" si="55"/>
        <v/>
      </c>
      <c r="BR45" s="343" t="str">
        <f t="shared" si="56"/>
        <v/>
      </c>
      <c r="BS45" s="558">
        <f t="shared" si="57"/>
        <v>0</v>
      </c>
      <c r="BT45" s="566" t="e">
        <f t="shared" si="58"/>
        <v>#VALUE!</v>
      </c>
      <c r="BU45" s="526">
        <f t="shared" si="59"/>
        <v>0</v>
      </c>
      <c r="BX45" s="565" t="str">
        <f t="shared" si="33"/>
        <v xml:space="preserve">   All Other</v>
      </c>
      <c r="BY45" s="89" t="str">
        <f>IF(AF45="Fail","",INDEX(References!$AH$4:$AH$86,MATCH(Calculations!BX45,References!$AG$4:$AG$86,0)))</f>
        <v/>
      </c>
      <c r="BZ45" s="89" t="str">
        <f>IF(AF45="FAIL","",BL45*References!$B$21+IF(BM45&gt;0,BM45*References!$B$25,0))</f>
        <v/>
      </c>
      <c r="CA45" s="89" t="str">
        <f>IF(AF45="FAIL","",IF(BM45&gt;0,0,BM45)*References!$B$25+BF45*INDEX(References!$F$136:$F$142,MATCH(IF(LEFT(AJ45,8)="Baseline",LEFT(AJ45,8),AJ45),References!$D$136:$D$142,0)))</f>
        <v/>
      </c>
      <c r="CB45" s="89">
        <f>IF(BY45="",0,ROUND(INDEX(References!$E$118:$E$132,MATCH('Whole Building ccASHP Worksheet'!B25,References!$D$118:$D$132,0))*BB45,References!$B$40))</f>
        <v>0</v>
      </c>
    </row>
    <row r="46" spans="2:80" x14ac:dyDescent="0.3">
      <c r="B46" s="11">
        <v>7</v>
      </c>
      <c r="C46" s="15" t="str">
        <f>IF('Whole Building ccASHP Worksheet'!B26="","",'Whole Building ccASHP Worksheet'!B26)</f>
        <v/>
      </c>
      <c r="D46" s="13" t="str">
        <f>IF('Whole Building ccASHP Worksheet'!C26="","",'Whole Building ccASHP Worksheet'!C26)</f>
        <v/>
      </c>
      <c r="E46" s="13" t="str">
        <f>IF('Whole Building ccASHP Worksheet'!E26="","",'Whole Building ccASHP Worksheet'!E26)</f>
        <v/>
      </c>
      <c r="F46" s="13" t="str">
        <f>IF('Whole Building ccASHP Worksheet'!X26="","",'Whole Building ccASHP Worksheet'!X26)</f>
        <v/>
      </c>
      <c r="G46" s="13" t="str">
        <f>IF('Whole Building ccASHP Worksheet'!Y26="","",'Whole Building ccASHP Worksheet'!Y26)</f>
        <v/>
      </c>
      <c r="H46" s="565" t="str">
        <f t="shared" si="34"/>
        <v xml:space="preserve"> All Other</v>
      </c>
      <c r="I46" s="511" t="str">
        <f t="shared" si="28"/>
        <v xml:space="preserve">  </v>
      </c>
      <c r="J46" s="15" t="str">
        <f>IF('Whole Building ccASHP Worksheet'!I26="","",'Whole Building ccASHP Worksheet'!I26)</f>
        <v/>
      </c>
      <c r="K46" s="14" t="str">
        <f>IF('Whole Building ccASHP Worksheet'!J26="","",'Whole Building ccASHP Worksheet'!J26)</f>
        <v/>
      </c>
      <c r="L46" s="15" t="str">
        <f>IF('Whole Building ccASHP Worksheet'!K26="","",'Whole Building ccASHP Worksheet'!K26)</f>
        <v/>
      </c>
      <c r="M46" s="13" t="str">
        <f>IF('Whole Building ccASHP Worksheet'!L26="","",'Whole Building ccASHP Worksheet'!L26)</f>
        <v/>
      </c>
      <c r="N46" s="13" t="str">
        <f>IF('Whole Building ccASHP Worksheet'!M26="","",'Whole Building ccASHP Worksheet'!M26)</f>
        <v/>
      </c>
      <c r="O46" s="13" t="str">
        <f>IF('Whole Building ccASHP Worksheet'!N26="","",'Whole Building ccASHP Worksheet'!N26)</f>
        <v/>
      </c>
      <c r="P46" s="15" t="str">
        <f t="shared" si="29"/>
        <v/>
      </c>
      <c r="Q46" s="13" t="str">
        <f t="shared" si="30"/>
        <v/>
      </c>
      <c r="R46" s="13" t="str">
        <f t="shared" si="31"/>
        <v/>
      </c>
      <c r="S46" s="13" t="str">
        <f t="shared" si="32"/>
        <v/>
      </c>
      <c r="T46" s="15" t="str">
        <f t="shared" si="35"/>
        <v/>
      </c>
      <c r="U46" s="13" t="str">
        <f t="shared" si="36"/>
        <v/>
      </c>
      <c r="V46" s="13" t="str">
        <f t="shared" si="37"/>
        <v/>
      </c>
      <c r="W46" s="13" t="str">
        <f t="shared" si="38"/>
        <v/>
      </c>
      <c r="X46" s="15" t="str">
        <f>'Whole Building ccASHP Worksheet'!BuildingType</f>
        <v>Select …</v>
      </c>
      <c r="Y46" s="530" t="e">
        <f>IF(OR(X46="",X46="… please select …"),0,INDEX(References!$H$22:$H$43,MATCH(X46,References!$G$22:$G$43,0)))</f>
        <v>#N/A</v>
      </c>
      <c r="Z46" s="61" t="e">
        <f>IF(OR(X46="",X46="… please select …"),0,INDEX(References!$I$22:$I$43,MATCH(X46,References!$G$22:$G$43,0)))</f>
        <v>#N/A</v>
      </c>
      <c r="AA46" s="15" t="str">
        <f>IF(OR('Whole Building ccASHP Worksheet'!P26="",'Whole Building ccASHP Worksheet'!P26=0),"",'Whole Building ccASHP Worksheet'!P26)</f>
        <v/>
      </c>
      <c r="AB46" s="13" t="str">
        <f>IF(OR('Whole Building ccASHP Worksheet'!Q26="",'Whole Building ccASHP Worksheet'!Q26=0),"",'Whole Building ccASHP Worksheet'!Q26)</f>
        <v/>
      </c>
      <c r="AC46" s="530" t="str">
        <f t="shared" si="39"/>
        <v/>
      </c>
      <c r="AD46" s="530" t="str">
        <f t="shared" si="40"/>
        <v/>
      </c>
      <c r="AE46" s="61" t="str">
        <f t="shared" si="41"/>
        <v/>
      </c>
      <c r="AF46" s="511" t="str">
        <f t="shared" si="42"/>
        <v>FAIL</v>
      </c>
      <c r="AG46" s="10">
        <v>7</v>
      </c>
      <c r="AH46" s="21" t="str">
        <f t="shared" si="43"/>
        <v xml:space="preserve">  </v>
      </c>
      <c r="AI46" s="21" t="str">
        <f>IF(OR('Whole Building ccASHP Worksheet'!X26="",'Whole Building ccASHP Worksheet'!X26="None"),IF($I46="  ","","Baseline "&amp;INDEX(References!$W$4:$W$44,MATCH($I46,References!$T$4:$T$44,0))),"Existing "&amp;'Whole Building ccASHP Worksheet'!X26)</f>
        <v/>
      </c>
      <c r="AJ46" s="21" t="str">
        <f>IF(OR('Whole Building ccASHP Worksheet'!Y26="",'Whole Building ccASHP Worksheet'!Y26="None"),IF($I46="  ","","Baseline "&amp;INDEX(References!$W$4:$W$44,MATCH($I46,References!$T$4:$T$44,0))),"Existing "&amp;'Whole Building ccASHP Worksheet'!Y26)</f>
        <v/>
      </c>
      <c r="AK46" s="342" t="str">
        <f>_xlfn.IFNA(IF(OR('Whole Building ccASHP Worksheet'!AB26=0,'Whole Building ccASHP Worksheet'!AB26=""),IF(LEFT(I46,3)="pac",0,INDEX(References!$BL$5:$BL$45,MATCH(I46,References!$AY$5:$AY$45,0))),'Whole Building ccASHP Worksheet'!AB26),"")</f>
        <v/>
      </c>
      <c r="AL46" s="343" t="str">
        <f>IF(I46="  ","",IF('Whole Building ccASHP Worksheet'!AC26="",IF(LEFT(I46,3)="Pac",(INDEX(References!$BM$4:$BM$44,MATCH(I46,References!$AY$4:$AY$44,0)))-(0.3*J46*12000/1000),INDEX(References!$BM$4:$BM$44,MATCH(I46,References!$AY$4:$AY$44,0))),'Whole Building ccASHP Worksheet'!AC26))</f>
        <v/>
      </c>
      <c r="AM46" s="343" t="str">
        <f>IF(I46="  ","",IF(OR($AJ46="Existing Gas",$AJ46="Existing Oil",$AJ46="Existing Propane"),0,IF(AND('Whole Building ccASHP Worksheet'!AD26=0,'Whole Building ccASHP Worksheet'!AE26=0),IF(LEFT(I46,3)="pac",0,INDEX(References!$BN$5:$BN$44,MATCH(I46,References!$AY$5:$AY$44,0))),IF(AND('Whole Building ccASHP Worksheet'!AD26=0,'Whole Building ccASHP Worksheet'!AE26&gt;0),'Whole Building ccASHP Worksheet'!AE26*References!$B$49,'Whole Building ccASHP Worksheet'!AD26))))</f>
        <v/>
      </c>
      <c r="AN46" s="343" t="str">
        <f>IF($I46="  ","",IF(OR($AJ46="Existing Gas",$AJ46="Existing Oil",$AJ46="Existing Propane"),0,IF(OR('Whole Building ccASHP Worksheet'!AE26="",'Whole Building ccASHP Worksheet'!AE26=0),IF(LEFT(I46,3)="Pac",(INDEX(References!$BN$5:$BN$44,MATCH(I46,References!$AY$5:$AY$44,0)))-INDEX(References!$BO$5:$BO$44,MATCH(I46,References!$AY$5:$AY$44,0))*J46*12000/1000,INDEX(References!$BO$5:$BO$44,MATCH(I46,References!$AY$5:$AY$44,0))),'Whole Building ccASHP Worksheet'!AE26)))</f>
        <v/>
      </c>
      <c r="AO46" s="521" t="str">
        <f>IF($I46="  ","",IF(OR($AJ46="Existing Gas",$AJ46="Existing Oil",$AJ46="Existing Propane"),IF(OR('Whole Building ccASHP Worksheet'!AF26="",'Whole Building ccASHP Worksheet'!AF26=0),INDEX(References!$E$136:$E$139,MATCH(AJ46,References!$D$136:$D$139,0)),'Whole Building ccASHP Worksheet'!AF26),0))</f>
        <v/>
      </c>
      <c r="AP46" s="349">
        <f>IF(OR('Whole Building ccASHP Worksheet'!$B$15="Integrated/Modulating Control",'Whole Building ccASHP Worksheet'!$B$15="No Fossil Fuel Heating"),IF(K46&gt;=AB46,1,0.9),0.9)</f>
        <v>0.9</v>
      </c>
      <c r="AQ46" s="521" t="str">
        <f>IF(C46="","",INDEX(References!$M$56:$M$66,MATCH(C46&amp;" "&amp;'Whole Building ccASHP Worksheet'!$B$15&amp;" "&amp;AP46,References!$L$56:$L$66,0)))</f>
        <v/>
      </c>
      <c r="AR46" s="521" t="str">
        <f>IF(C46="","",INDEX(References!$N$56:$N$66,MATCH(C46&amp;" "&amp;'Whole Building ccASHP Worksheet'!$B$15&amp;" "&amp;AP46,References!$L$56:$L$66,0)))</f>
        <v/>
      </c>
      <c r="AS46" s="521" t="str">
        <f>IF(C46="","",INDEX(References!$O$56:$O$66,MATCH(C46&amp;" "&amp;'Whole Building ccASHP Worksheet'!$B$15&amp;" "&amp;AP46,References!$L$56:$L$66,0)))</f>
        <v/>
      </c>
      <c r="AT46" s="521" t="str">
        <f>IF(C46="","",INDEX(References!$P$56:$P$66,MATCH(C46&amp;" "&amp;'Whole Building ccASHP Worksheet'!$B$15&amp;" "&amp;AP46,References!$L$56:$L$66,0)))</f>
        <v/>
      </c>
      <c r="AU46" s="521" t="str">
        <f>IF(C46="","",INDEX(References!$Q$56:$Q$66,MATCH(C46&amp;" "&amp;'Whole Building ccASHP Worksheet'!$B$15&amp;" "&amp;AP46,References!$L$56:$L$66,0)))</f>
        <v/>
      </c>
      <c r="AV46" s="521" t="str">
        <f>IF(C46="","",INDEX(References!$R$56:$R$66,MATCH(C46&amp;" "&amp;'Whole Building ccASHP Worksheet'!$B$15&amp;" "&amp;AP46,References!$L$56:$L$66,0)))</f>
        <v/>
      </c>
      <c r="AW46" s="521" t="str">
        <f>IF(C46="","",INDEX(References!$S$56:$S$66,MATCH(C46&amp;" "&amp;'Whole Building ccASHP Worksheet'!$B$15&amp;" "&amp;AP46,References!$L$56:$L$66,0)))</f>
        <v/>
      </c>
      <c r="AX46" s="521" t="str">
        <f>IF(AM46="","",IF(AM46&lt;8.5,References!$M$69,References!$M$70))</f>
        <v/>
      </c>
      <c r="AY46" s="521" t="str">
        <f t="shared" si="44"/>
        <v/>
      </c>
      <c r="AZ46" s="521" t="str">
        <f t="shared" si="45"/>
        <v/>
      </c>
      <c r="BA46" s="521" t="str">
        <f t="shared" si="46"/>
        <v/>
      </c>
      <c r="BB46" s="212" t="str">
        <f>IF(AF46="FAIL","",IF(AND(AL46&gt;0,M46&gt;0),ROUND((AA46/1000)*((1/AL46)-(1/M46)),References!$B$40),0))</f>
        <v/>
      </c>
      <c r="BC46" s="308" t="str">
        <f>IF(AF46="FAIL","",IF(AND(AM46&gt;0,N46&gt;0),ROUND((AB46/1000)*((1/(AM46/3.412))-(1/(N46/3.412))),References!$B$40),ROUND((AB46/1000)*-(1/(N46/3.412)),References!$B$40)))</f>
        <v/>
      </c>
      <c r="BD46" s="308" t="str">
        <f>IF(AF46="FAIL","",IF(AND(AK46=0,AL46=0),0,IF(AK46&gt;0,ROUND((AA46/1000)*((1/AK46)-(1/AY46))*Y46*AV46,References!$B$43),ROUND((AA46/1000)*((1/AL46)-(1/AY46))*Y46*AV46,References!$B$43))))</f>
        <v/>
      </c>
      <c r="BE46" s="308" t="str">
        <f>IF(BD46="","",BD46*References!$B$29)</f>
        <v/>
      </c>
      <c r="BF46" s="308" t="str">
        <f t="shared" si="47"/>
        <v/>
      </c>
      <c r="BG46" s="308" t="str">
        <f>IF(AF46="FAIL","",IF(AND(AZ46&gt;0,BA46&gt;0),ROUND((AB46/1000)*((1/BA46)-(1/AZ46))*Z46*AW46/3.413,References!$B$43),0))</f>
        <v/>
      </c>
      <c r="BH46" s="308" t="str">
        <f>IF(AF46="FAIL","",IF(AND(OR($AJ46="Existing Gas",$AJ46="Existing Oil",$AJ46="Existing Propane"),RIGHT(C46,10)="Heat Pumps"),IF(AND(AZ46&gt;0,AZ46&lt;&gt;""),ROUND(((AB46/1000)*((1/AZ46))*Z46*AW46/3.412),References!$B$43),0),0))</f>
        <v/>
      </c>
      <c r="BI46" s="308" t="str">
        <f>IF(AF46="FAIL","",(BG46*References!$B$29)-(BH46*References!$B$29))</f>
        <v/>
      </c>
      <c r="BJ46" s="308" t="str">
        <f t="shared" si="48"/>
        <v/>
      </c>
      <c r="BK46" s="308" t="str">
        <f t="shared" si="49"/>
        <v/>
      </c>
      <c r="BL46" s="343" t="str">
        <f t="shared" si="50"/>
        <v/>
      </c>
      <c r="BM46" s="343" t="str">
        <f t="shared" si="51"/>
        <v/>
      </c>
      <c r="BN46" s="343" t="str">
        <f t="shared" si="52"/>
        <v/>
      </c>
      <c r="BO46" s="649" t="str">
        <f t="shared" si="53"/>
        <v/>
      </c>
      <c r="BP46" s="649" t="str">
        <f t="shared" si="54"/>
        <v/>
      </c>
      <c r="BQ46" s="650" t="str">
        <f t="shared" si="55"/>
        <v/>
      </c>
      <c r="BR46" s="343" t="str">
        <f t="shared" si="56"/>
        <v/>
      </c>
      <c r="BS46" s="558">
        <f t="shared" si="57"/>
        <v>0</v>
      </c>
      <c r="BT46" s="566" t="e">
        <f t="shared" si="58"/>
        <v>#VALUE!</v>
      </c>
      <c r="BU46" s="526">
        <f t="shared" si="59"/>
        <v>0</v>
      </c>
      <c r="BX46" s="565" t="str">
        <f t="shared" si="33"/>
        <v xml:space="preserve">   All Other</v>
      </c>
      <c r="BY46" s="89" t="str">
        <f>IF(AF46="Fail","",INDEX(References!$AH$4:$AH$86,MATCH(Calculations!BX46,References!$AG$4:$AG$86,0)))</f>
        <v/>
      </c>
      <c r="BZ46" s="89" t="str">
        <f>IF(AF46="FAIL","",BL46*References!$B$21+IF(BM46&gt;0,BM46*References!$B$25,0))</f>
        <v/>
      </c>
      <c r="CA46" s="89" t="str">
        <f>IF(AF46="FAIL","",IF(BM46&gt;0,0,BM46)*References!$B$25+BF46*INDEX(References!$F$136:$F$142,MATCH(IF(LEFT(AJ46,8)="Baseline",LEFT(AJ46,8),AJ46),References!$D$136:$D$142,0)))</f>
        <v/>
      </c>
      <c r="CB46" s="89">
        <f>IF(BY46="",0,ROUND(INDEX(References!$E$118:$E$132,MATCH('Whole Building ccASHP Worksheet'!B26,References!$D$118:$D$132,0))*BB46,References!$B$40))</f>
        <v>0</v>
      </c>
    </row>
    <row r="47" spans="2:80" x14ac:dyDescent="0.3">
      <c r="B47" s="11">
        <v>8</v>
      </c>
      <c r="C47" s="15" t="str">
        <f>IF('Whole Building ccASHP Worksheet'!B27="","",'Whole Building ccASHP Worksheet'!B27)</f>
        <v/>
      </c>
      <c r="D47" s="13" t="str">
        <f>IF('Whole Building ccASHP Worksheet'!C27="","",'Whole Building ccASHP Worksheet'!C27)</f>
        <v/>
      </c>
      <c r="E47" s="13" t="str">
        <f>IF('Whole Building ccASHP Worksheet'!E27="","",'Whole Building ccASHP Worksheet'!E27)</f>
        <v/>
      </c>
      <c r="F47" s="13" t="str">
        <f>IF('Whole Building ccASHP Worksheet'!X27="","",'Whole Building ccASHP Worksheet'!X27)</f>
        <v/>
      </c>
      <c r="G47" s="13" t="str">
        <f>IF('Whole Building ccASHP Worksheet'!Y27="","",'Whole Building ccASHP Worksheet'!Y27)</f>
        <v/>
      </c>
      <c r="H47" s="565" t="str">
        <f t="shared" si="34"/>
        <v xml:space="preserve"> All Other</v>
      </c>
      <c r="I47" s="511" t="str">
        <f t="shared" si="28"/>
        <v xml:space="preserve">  </v>
      </c>
      <c r="J47" s="15" t="str">
        <f>IF('Whole Building ccASHP Worksheet'!I27="","",'Whole Building ccASHP Worksheet'!I27)</f>
        <v/>
      </c>
      <c r="K47" s="14" t="str">
        <f>IF('Whole Building ccASHP Worksheet'!J27="","",'Whole Building ccASHP Worksheet'!J27)</f>
        <v/>
      </c>
      <c r="L47" s="15" t="str">
        <f>IF('Whole Building ccASHP Worksheet'!K27="","",'Whole Building ccASHP Worksheet'!K27)</f>
        <v/>
      </c>
      <c r="M47" s="13" t="str">
        <f>IF('Whole Building ccASHP Worksheet'!L27="","",'Whole Building ccASHP Worksheet'!L27)</f>
        <v/>
      </c>
      <c r="N47" s="13" t="str">
        <f>IF('Whole Building ccASHP Worksheet'!M27="","",'Whole Building ccASHP Worksheet'!M27)</f>
        <v/>
      </c>
      <c r="O47" s="13" t="str">
        <f>IF('Whole Building ccASHP Worksheet'!N27="","",'Whole Building ccASHP Worksheet'!N27)</f>
        <v/>
      </c>
      <c r="P47" s="15" t="str">
        <f t="shared" si="29"/>
        <v/>
      </c>
      <c r="Q47" s="13" t="str">
        <f t="shared" si="30"/>
        <v/>
      </c>
      <c r="R47" s="13" t="str">
        <f t="shared" si="31"/>
        <v/>
      </c>
      <c r="S47" s="13" t="str">
        <f t="shared" si="32"/>
        <v/>
      </c>
      <c r="T47" s="15" t="str">
        <f t="shared" si="35"/>
        <v/>
      </c>
      <c r="U47" s="13" t="str">
        <f t="shared" si="36"/>
        <v/>
      </c>
      <c r="V47" s="13" t="str">
        <f t="shared" si="37"/>
        <v/>
      </c>
      <c r="W47" s="13" t="str">
        <f t="shared" si="38"/>
        <v/>
      </c>
      <c r="X47" s="15" t="str">
        <f>'Whole Building ccASHP Worksheet'!BuildingType</f>
        <v>Select …</v>
      </c>
      <c r="Y47" s="530" t="e">
        <f>IF(OR(X47="",X47="… please select …"),0,INDEX(References!$H$22:$H$43,MATCH(X47,References!$G$22:$G$43,0)))</f>
        <v>#N/A</v>
      </c>
      <c r="Z47" s="61" t="e">
        <f>IF(OR(X47="",X47="… please select …"),0,INDEX(References!$I$22:$I$43,MATCH(X47,References!$G$22:$G$43,0)))</f>
        <v>#N/A</v>
      </c>
      <c r="AA47" s="15" t="str">
        <f>IF(OR('Whole Building ccASHP Worksheet'!P27="",'Whole Building ccASHP Worksheet'!P27=0),"",'Whole Building ccASHP Worksheet'!P27)</f>
        <v/>
      </c>
      <c r="AB47" s="13" t="str">
        <f>IF(OR('Whole Building ccASHP Worksheet'!Q27="",'Whole Building ccASHP Worksheet'!Q27=0),"",'Whole Building ccASHP Worksheet'!Q27)</f>
        <v/>
      </c>
      <c r="AC47" s="530" t="str">
        <f t="shared" si="39"/>
        <v/>
      </c>
      <c r="AD47" s="530" t="str">
        <f t="shared" si="40"/>
        <v/>
      </c>
      <c r="AE47" s="61" t="str">
        <f t="shared" si="41"/>
        <v/>
      </c>
      <c r="AF47" s="511" t="str">
        <f t="shared" si="42"/>
        <v>FAIL</v>
      </c>
      <c r="AG47" s="10">
        <v>8</v>
      </c>
      <c r="AH47" s="21" t="str">
        <f t="shared" si="43"/>
        <v xml:space="preserve">  </v>
      </c>
      <c r="AI47" s="21" t="str">
        <f>IF(OR('Whole Building ccASHP Worksheet'!X27="",'Whole Building ccASHP Worksheet'!X27="None"),IF($I47="  ","","Baseline "&amp;INDEX(References!$W$4:$W$44,MATCH($I47,References!$T$4:$T$44,0))),"Existing "&amp;'Whole Building ccASHP Worksheet'!X27)</f>
        <v/>
      </c>
      <c r="AJ47" s="21" t="str">
        <f>IF(OR('Whole Building ccASHP Worksheet'!Y27="",'Whole Building ccASHP Worksheet'!Y27="None"),IF($I47="  ","","Baseline "&amp;INDEX(References!$W$4:$W$44,MATCH($I47,References!$T$4:$T$44,0))),"Existing "&amp;'Whole Building ccASHP Worksheet'!Y27)</f>
        <v/>
      </c>
      <c r="AK47" s="342" t="str">
        <f>_xlfn.IFNA(IF(OR('Whole Building ccASHP Worksheet'!AB27=0,'Whole Building ccASHP Worksheet'!AB27=""),IF(LEFT(I47,3)="pac",0,INDEX(References!$BL$5:$BL$45,MATCH(I47,References!$AY$5:$AY$45,0))),'Whole Building ccASHP Worksheet'!AB27),"")</f>
        <v/>
      </c>
      <c r="AL47" s="343" t="str">
        <f>IF(I47="  ","",IF('Whole Building ccASHP Worksheet'!AC27="",IF(LEFT(I47,3)="Pac",(INDEX(References!$BM$4:$BM$44,MATCH(I47,References!$AY$4:$AY$44,0)))-(0.3*J47*12000/1000),INDEX(References!$BM$4:$BM$44,MATCH(I47,References!$AY$4:$AY$44,0))),'Whole Building ccASHP Worksheet'!AC27))</f>
        <v/>
      </c>
      <c r="AM47" s="343" t="str">
        <f>IF(I47="  ","",IF(OR($AJ47="Existing Gas",$AJ47="Existing Oil",$AJ47="Existing Propane"),0,IF(AND('Whole Building ccASHP Worksheet'!AD27=0,'Whole Building ccASHP Worksheet'!AE27=0),IF(LEFT(I47,3)="pac",0,INDEX(References!$BN$5:$BN$44,MATCH(I47,References!$AY$5:$AY$44,0))),IF(AND('Whole Building ccASHP Worksheet'!AD27=0,'Whole Building ccASHP Worksheet'!AE27&gt;0),'Whole Building ccASHP Worksheet'!AE27*References!$B$49,'Whole Building ccASHP Worksheet'!AD27))))</f>
        <v/>
      </c>
      <c r="AN47" s="343" t="str">
        <f>IF($I47="  ","",IF(OR($AJ47="Existing Gas",$AJ47="Existing Oil",$AJ47="Existing Propane"),0,IF(OR('Whole Building ccASHP Worksheet'!AE27="",'Whole Building ccASHP Worksheet'!AE27=0),IF(LEFT(I47,3)="Pac",(INDEX(References!$BN$5:$BN$44,MATCH(I47,References!$AY$5:$AY$44,0)))-INDEX(References!$BO$5:$BO$44,MATCH(I47,References!$AY$5:$AY$44,0))*J47*12000/1000,INDEX(References!$BO$5:$BO$44,MATCH(I47,References!$AY$5:$AY$44,0))),'Whole Building ccASHP Worksheet'!AE27)))</f>
        <v/>
      </c>
      <c r="AO47" s="521" t="str">
        <f>IF($I47="  ","",IF(OR($AJ47="Existing Gas",$AJ47="Existing Oil",$AJ47="Existing Propane"),IF(OR('Whole Building ccASHP Worksheet'!AF27="",'Whole Building ccASHP Worksheet'!AF27=0),INDEX(References!$E$136:$E$139,MATCH(AJ47,References!$D$136:$D$139,0)),'Whole Building ccASHP Worksheet'!AF27),0))</f>
        <v/>
      </c>
      <c r="AP47" s="349">
        <f>IF(OR('Whole Building ccASHP Worksheet'!$B$15="Integrated/Modulating Control",'Whole Building ccASHP Worksheet'!$B$15="No Fossil Fuel Heating"),IF(K47&gt;=AB47,1,0.9),0.9)</f>
        <v>0.9</v>
      </c>
      <c r="AQ47" s="521" t="str">
        <f>IF(C47="","",INDEX(References!$M$56:$M$66,MATCH(C47&amp;" "&amp;'Whole Building ccASHP Worksheet'!$B$15&amp;" "&amp;AP47,References!$L$56:$L$66,0)))</f>
        <v/>
      </c>
      <c r="AR47" s="521" t="str">
        <f>IF(C47="","",INDEX(References!$N$56:$N$66,MATCH(C47&amp;" "&amp;'Whole Building ccASHP Worksheet'!$B$15&amp;" "&amp;AP47,References!$L$56:$L$66,0)))</f>
        <v/>
      </c>
      <c r="AS47" s="521" t="str">
        <f>IF(C47="","",INDEX(References!$O$56:$O$66,MATCH(C47&amp;" "&amp;'Whole Building ccASHP Worksheet'!$B$15&amp;" "&amp;AP47,References!$L$56:$L$66,0)))</f>
        <v/>
      </c>
      <c r="AT47" s="521" t="str">
        <f>IF(C47="","",INDEX(References!$P$56:$P$66,MATCH(C47&amp;" "&amp;'Whole Building ccASHP Worksheet'!$B$15&amp;" "&amp;AP47,References!$L$56:$L$66,0)))</f>
        <v/>
      </c>
      <c r="AU47" s="521" t="str">
        <f>IF(C47="","",INDEX(References!$Q$56:$Q$66,MATCH(C47&amp;" "&amp;'Whole Building ccASHP Worksheet'!$B$15&amp;" "&amp;AP47,References!$L$56:$L$66,0)))</f>
        <v/>
      </c>
      <c r="AV47" s="521" t="str">
        <f>IF(C47="","",INDEX(References!$R$56:$R$66,MATCH(C47&amp;" "&amp;'Whole Building ccASHP Worksheet'!$B$15&amp;" "&amp;AP47,References!$L$56:$L$66,0)))</f>
        <v/>
      </c>
      <c r="AW47" s="521" t="str">
        <f>IF(C47="","",INDEX(References!$S$56:$S$66,MATCH(C47&amp;" "&amp;'Whole Building ccASHP Worksheet'!$B$15&amp;" "&amp;AP47,References!$L$56:$L$66,0)))</f>
        <v/>
      </c>
      <c r="AX47" s="521" t="str">
        <f>IF(AM47="","",IF(AM47&lt;8.5,References!$M$69,References!$M$70))</f>
        <v/>
      </c>
      <c r="AY47" s="521" t="str">
        <f t="shared" si="44"/>
        <v/>
      </c>
      <c r="AZ47" s="521" t="str">
        <f t="shared" si="45"/>
        <v/>
      </c>
      <c r="BA47" s="521" t="str">
        <f t="shared" si="46"/>
        <v/>
      </c>
      <c r="BB47" s="212" t="str">
        <f>IF(AF47="FAIL","",IF(AND(AL47&gt;0,M47&gt;0),ROUND((AA47/1000)*((1/AL47)-(1/M47)),References!$B$40),0))</f>
        <v/>
      </c>
      <c r="BC47" s="308" t="str">
        <f>IF(AF47="FAIL","",IF(AND(AM47&gt;0,N47&gt;0),ROUND((AB47/1000)*((1/(AM47/3.412))-(1/(N47/3.412))),References!$B$40),ROUND((AB47/1000)*-(1/(N47/3.412)),References!$B$40)))</f>
        <v/>
      </c>
      <c r="BD47" s="308" t="str">
        <f>IF(AF47="FAIL","",IF(AND(AK47=0,AL47=0),0,IF(AK47&gt;0,ROUND((AA47/1000)*((1/AK47)-(1/AY47))*Y47*AV47,References!$B$43),ROUND((AA47/1000)*((1/AL47)-(1/AY47))*Y47*AV47,References!$B$43))))</f>
        <v/>
      </c>
      <c r="BE47" s="308" t="str">
        <f>IF(BD47="","",BD47*References!$B$29)</f>
        <v/>
      </c>
      <c r="BF47" s="308" t="str">
        <f t="shared" si="47"/>
        <v/>
      </c>
      <c r="BG47" s="308" t="str">
        <f>IF(AF47="FAIL","",IF(AND(AZ47&gt;0,BA47&gt;0),ROUND((AB47/1000)*((1/BA47)-(1/AZ47))*Z47*AW47/3.413,References!$B$43),0))</f>
        <v/>
      </c>
      <c r="BH47" s="308" t="str">
        <f>IF(AF47="FAIL","",IF(AND(OR($AJ47="Existing Gas",$AJ47="Existing Oil",$AJ47="Existing Propane"),RIGHT(C47,10)="Heat Pumps"),IF(AND(AZ47&gt;0,AZ47&lt;&gt;""),ROUND(((AB47/1000)*((1/AZ47))*Z47*AW47/3.412),References!$B$43),0),0))</f>
        <v/>
      </c>
      <c r="BI47" s="308" t="str">
        <f>IF(AF47="FAIL","",(BG47*References!$B$29)-(BH47*References!$B$29))</f>
        <v/>
      </c>
      <c r="BJ47" s="308" t="str">
        <f t="shared" si="48"/>
        <v/>
      </c>
      <c r="BK47" s="308" t="str">
        <f t="shared" si="49"/>
        <v/>
      </c>
      <c r="BL47" s="343" t="str">
        <f t="shared" si="50"/>
        <v/>
      </c>
      <c r="BM47" s="343" t="str">
        <f t="shared" si="51"/>
        <v/>
      </c>
      <c r="BN47" s="343" t="str">
        <f t="shared" si="52"/>
        <v/>
      </c>
      <c r="BO47" s="649" t="str">
        <f t="shared" si="53"/>
        <v/>
      </c>
      <c r="BP47" s="649" t="str">
        <f t="shared" si="54"/>
        <v/>
      </c>
      <c r="BQ47" s="650" t="str">
        <f t="shared" si="55"/>
        <v/>
      </c>
      <c r="BR47" s="343" t="str">
        <f t="shared" si="56"/>
        <v/>
      </c>
      <c r="BS47" s="558">
        <f t="shared" si="57"/>
        <v>0</v>
      </c>
      <c r="BT47" s="566" t="e">
        <f t="shared" si="58"/>
        <v>#VALUE!</v>
      </c>
      <c r="BU47" s="526">
        <f t="shared" si="59"/>
        <v>0</v>
      </c>
      <c r="BX47" s="565" t="str">
        <f t="shared" si="33"/>
        <v xml:space="preserve">   All Other</v>
      </c>
      <c r="BY47" s="89" t="str">
        <f>IF(AF47="Fail","",INDEX(References!$AH$4:$AH$86,MATCH(Calculations!BX47,References!$AG$4:$AG$86,0)))</f>
        <v/>
      </c>
      <c r="BZ47" s="89" t="str">
        <f>IF(AF47="FAIL","",BL47*References!$B$21+IF(BM47&gt;0,BM47*References!$B$25,0))</f>
        <v/>
      </c>
      <c r="CA47" s="89" t="str">
        <f>IF(AF47="FAIL","",IF(BM47&gt;0,0,BM47)*References!$B$25+BF47*INDEX(References!$F$136:$F$142,MATCH(IF(LEFT(AJ47,8)="Baseline",LEFT(AJ47,8),AJ47),References!$D$136:$D$142,0)))</f>
        <v/>
      </c>
      <c r="CB47" s="89">
        <f>IF(BY47="",0,ROUND(INDEX(References!$E$118:$E$132,MATCH('Whole Building ccASHP Worksheet'!B27,References!$D$118:$D$132,0))*BB47,References!$B$40))</f>
        <v>0</v>
      </c>
    </row>
    <row r="48" spans="2:80" x14ac:dyDescent="0.3">
      <c r="B48" s="11">
        <v>9</v>
      </c>
      <c r="C48" s="15" t="str">
        <f>IF('Whole Building ccASHP Worksheet'!B28="","",'Whole Building ccASHP Worksheet'!B28)</f>
        <v/>
      </c>
      <c r="D48" s="13" t="str">
        <f>IF('Whole Building ccASHP Worksheet'!C28="","",'Whole Building ccASHP Worksheet'!C28)</f>
        <v/>
      </c>
      <c r="E48" s="13" t="str">
        <f>IF('Whole Building ccASHP Worksheet'!E28="","",'Whole Building ccASHP Worksheet'!E28)</f>
        <v/>
      </c>
      <c r="F48" s="13" t="str">
        <f>IF('Whole Building ccASHP Worksheet'!X28="","",'Whole Building ccASHP Worksheet'!X28)</f>
        <v/>
      </c>
      <c r="G48" s="13" t="str">
        <f>IF('Whole Building ccASHP Worksheet'!Y28="","",'Whole Building ccASHP Worksheet'!Y28)</f>
        <v/>
      </c>
      <c r="H48" s="565" t="str">
        <f t="shared" si="34"/>
        <v xml:space="preserve"> All Other</v>
      </c>
      <c r="I48" s="511" t="str">
        <f t="shared" si="28"/>
        <v xml:space="preserve">  </v>
      </c>
      <c r="J48" s="15" t="str">
        <f>IF('Whole Building ccASHP Worksheet'!I28="","",'Whole Building ccASHP Worksheet'!I28)</f>
        <v/>
      </c>
      <c r="K48" s="14" t="str">
        <f>IF('Whole Building ccASHP Worksheet'!J28="","",'Whole Building ccASHP Worksheet'!J28)</f>
        <v/>
      </c>
      <c r="L48" s="15" t="str">
        <f>IF('Whole Building ccASHP Worksheet'!K28="","",'Whole Building ccASHP Worksheet'!K28)</f>
        <v/>
      </c>
      <c r="M48" s="13" t="str">
        <f>IF('Whole Building ccASHP Worksheet'!L28="","",'Whole Building ccASHP Worksheet'!L28)</f>
        <v/>
      </c>
      <c r="N48" s="13" t="str">
        <f>IF('Whole Building ccASHP Worksheet'!M28="","",'Whole Building ccASHP Worksheet'!M28)</f>
        <v/>
      </c>
      <c r="O48" s="13" t="str">
        <f>IF('Whole Building ccASHP Worksheet'!N28="","",'Whole Building ccASHP Worksheet'!N28)</f>
        <v/>
      </c>
      <c r="P48" s="15" t="str">
        <f t="shared" si="29"/>
        <v/>
      </c>
      <c r="Q48" s="13" t="str">
        <f t="shared" si="30"/>
        <v/>
      </c>
      <c r="R48" s="13" t="str">
        <f t="shared" si="31"/>
        <v/>
      </c>
      <c r="S48" s="13" t="str">
        <f t="shared" si="32"/>
        <v/>
      </c>
      <c r="T48" s="15" t="str">
        <f t="shared" si="35"/>
        <v/>
      </c>
      <c r="U48" s="13" t="str">
        <f t="shared" si="36"/>
        <v/>
      </c>
      <c r="V48" s="13" t="str">
        <f t="shared" si="37"/>
        <v/>
      </c>
      <c r="W48" s="13" t="str">
        <f t="shared" si="38"/>
        <v/>
      </c>
      <c r="X48" s="15" t="str">
        <f>'Whole Building ccASHP Worksheet'!BuildingType</f>
        <v>Select …</v>
      </c>
      <c r="Y48" s="530" t="e">
        <f>IF(OR(X48="",X48="… please select …"),0,INDEX(References!$H$22:$H$43,MATCH(X48,References!$G$22:$G$43,0)))</f>
        <v>#N/A</v>
      </c>
      <c r="Z48" s="61" t="e">
        <f>IF(OR(X48="",X48="… please select …"),0,INDEX(References!$I$22:$I$43,MATCH(X48,References!$G$22:$G$43,0)))</f>
        <v>#N/A</v>
      </c>
      <c r="AA48" s="15" t="str">
        <f>IF(OR('Whole Building ccASHP Worksheet'!P28="",'Whole Building ccASHP Worksheet'!P28=0),"",'Whole Building ccASHP Worksheet'!P28)</f>
        <v/>
      </c>
      <c r="AB48" s="13" t="str">
        <f>IF(OR('Whole Building ccASHP Worksheet'!Q28="",'Whole Building ccASHP Worksheet'!Q28=0),"",'Whole Building ccASHP Worksheet'!Q28)</f>
        <v/>
      </c>
      <c r="AC48" s="530" t="str">
        <f t="shared" si="39"/>
        <v/>
      </c>
      <c r="AD48" s="530" t="str">
        <f t="shared" si="40"/>
        <v/>
      </c>
      <c r="AE48" s="61" t="str">
        <f t="shared" si="41"/>
        <v/>
      </c>
      <c r="AF48" s="511" t="str">
        <f t="shared" si="42"/>
        <v>FAIL</v>
      </c>
      <c r="AG48" s="10">
        <v>9</v>
      </c>
      <c r="AH48" s="21" t="str">
        <f t="shared" si="43"/>
        <v xml:space="preserve">  </v>
      </c>
      <c r="AI48" s="21" t="str">
        <f>IF(OR('Whole Building ccASHP Worksheet'!X28="",'Whole Building ccASHP Worksheet'!X28="None"),IF($I48="  ","","Baseline "&amp;INDEX(References!$W$4:$W$44,MATCH($I48,References!$T$4:$T$44,0))),"Existing "&amp;'Whole Building ccASHP Worksheet'!X28)</f>
        <v/>
      </c>
      <c r="AJ48" s="21" t="str">
        <f>IF(OR('Whole Building ccASHP Worksheet'!Y28="",'Whole Building ccASHP Worksheet'!Y28="None"),IF($I48="  ","","Baseline "&amp;INDEX(References!$W$4:$W$44,MATCH($I48,References!$T$4:$T$44,0))),"Existing "&amp;'Whole Building ccASHP Worksheet'!Y28)</f>
        <v/>
      </c>
      <c r="AK48" s="342" t="str">
        <f>_xlfn.IFNA(IF(OR('Whole Building ccASHP Worksheet'!AB28=0,'Whole Building ccASHP Worksheet'!AB28=""),IF(LEFT(I48,3)="pac",0,INDEX(References!$BL$5:$BL$45,MATCH(I48,References!$AY$5:$AY$45,0))),'Whole Building ccASHP Worksheet'!AB28),"")</f>
        <v/>
      </c>
      <c r="AL48" s="343" t="str">
        <f>IF(I48="  ","",IF('Whole Building ccASHP Worksheet'!AC28="",IF(LEFT(I48,3)="Pac",(INDEX(References!$BM$4:$BM$44,MATCH(I48,References!$AY$4:$AY$44,0)))-(0.3*J48*12000/1000),INDEX(References!$BM$4:$BM$44,MATCH(I48,References!$AY$4:$AY$44,0))),'Whole Building ccASHP Worksheet'!AC28))</f>
        <v/>
      </c>
      <c r="AM48" s="343" t="str">
        <f>IF(I48="  ","",IF(OR($AJ48="Existing Gas",$AJ48="Existing Oil",$AJ48="Existing Propane"),0,IF(AND('Whole Building ccASHP Worksheet'!AD28=0,'Whole Building ccASHP Worksheet'!AE28=0),IF(LEFT(I48,3)="pac",0,INDEX(References!$BN$5:$BN$44,MATCH(I48,References!$AY$5:$AY$44,0))),IF(AND('Whole Building ccASHP Worksheet'!AD28=0,'Whole Building ccASHP Worksheet'!AE28&gt;0),'Whole Building ccASHP Worksheet'!AE28*References!$B$49,'Whole Building ccASHP Worksheet'!AD28))))</f>
        <v/>
      </c>
      <c r="AN48" s="343" t="str">
        <f>IF($I48="  ","",IF(OR($AJ48="Existing Gas",$AJ48="Existing Oil",$AJ48="Existing Propane"),0,IF(OR('Whole Building ccASHP Worksheet'!AE28="",'Whole Building ccASHP Worksheet'!AE28=0),IF(LEFT(I48,3)="Pac",(INDEX(References!$BN$5:$BN$44,MATCH(I48,References!$AY$5:$AY$44,0)))-INDEX(References!$BO$5:$BO$44,MATCH(I48,References!$AY$5:$AY$44,0))*J48*12000/1000,INDEX(References!$BO$5:$BO$44,MATCH(I48,References!$AY$5:$AY$44,0))),'Whole Building ccASHP Worksheet'!AE28)))</f>
        <v/>
      </c>
      <c r="AO48" s="521" t="str">
        <f>IF($I48="  ","",IF(OR($AJ48="Existing Gas",$AJ48="Existing Oil",$AJ48="Existing Propane"),IF(OR('Whole Building ccASHP Worksheet'!AF28="",'Whole Building ccASHP Worksheet'!AF28=0),INDEX(References!$E$136:$E$139,MATCH(AJ48,References!$D$136:$D$139,0)),'Whole Building ccASHP Worksheet'!AF28),0))</f>
        <v/>
      </c>
      <c r="AP48" s="349">
        <f>IF(OR('Whole Building ccASHP Worksheet'!$B$15="Integrated/Modulating Control",'Whole Building ccASHP Worksheet'!$B$15="No Fossil Fuel Heating"),IF(K48&gt;=AB48,1,0.9),0.9)</f>
        <v>0.9</v>
      </c>
      <c r="AQ48" s="521" t="str">
        <f>IF(C48="","",INDEX(References!$M$56:$M$66,MATCH(C48&amp;" "&amp;'Whole Building ccASHP Worksheet'!$B$15&amp;" "&amp;AP48,References!$L$56:$L$66,0)))</f>
        <v/>
      </c>
      <c r="AR48" s="521" t="str">
        <f>IF(C48="","",INDEX(References!$N$56:$N$66,MATCH(C48&amp;" "&amp;'Whole Building ccASHP Worksheet'!$B$15&amp;" "&amp;AP48,References!$L$56:$L$66,0)))</f>
        <v/>
      </c>
      <c r="AS48" s="521" t="str">
        <f>IF(C48="","",INDEX(References!$O$56:$O$66,MATCH(C48&amp;" "&amp;'Whole Building ccASHP Worksheet'!$B$15&amp;" "&amp;AP48,References!$L$56:$L$66,0)))</f>
        <v/>
      </c>
      <c r="AT48" s="521" t="str">
        <f>IF(C48="","",INDEX(References!$P$56:$P$66,MATCH(C48&amp;" "&amp;'Whole Building ccASHP Worksheet'!$B$15&amp;" "&amp;AP48,References!$L$56:$L$66,0)))</f>
        <v/>
      </c>
      <c r="AU48" s="521" t="str">
        <f>IF(C48="","",INDEX(References!$Q$56:$Q$66,MATCH(C48&amp;" "&amp;'Whole Building ccASHP Worksheet'!$B$15&amp;" "&amp;AP48,References!$L$56:$L$66,0)))</f>
        <v/>
      </c>
      <c r="AV48" s="521" t="str">
        <f>IF(C48="","",INDEX(References!$R$56:$R$66,MATCH(C48&amp;" "&amp;'Whole Building ccASHP Worksheet'!$B$15&amp;" "&amp;AP48,References!$L$56:$L$66,0)))</f>
        <v/>
      </c>
      <c r="AW48" s="521" t="str">
        <f>IF(C48="","",INDEX(References!$S$56:$S$66,MATCH(C48&amp;" "&amp;'Whole Building ccASHP Worksheet'!$B$15&amp;" "&amp;AP48,References!$L$56:$L$66,0)))</f>
        <v/>
      </c>
      <c r="AX48" s="521" t="str">
        <f>IF(AM48="","",IF(AM48&lt;8.5,References!$M$69,References!$M$70))</f>
        <v/>
      </c>
      <c r="AY48" s="521" t="str">
        <f t="shared" si="44"/>
        <v/>
      </c>
      <c r="AZ48" s="521" t="str">
        <f t="shared" si="45"/>
        <v/>
      </c>
      <c r="BA48" s="521" t="str">
        <f t="shared" si="46"/>
        <v/>
      </c>
      <c r="BB48" s="212" t="str">
        <f>IF(AF48="FAIL","",IF(AND(AL48&gt;0,M48&gt;0),ROUND((AA48/1000)*((1/AL48)-(1/M48)),References!$B$40),0))</f>
        <v/>
      </c>
      <c r="BC48" s="308" t="str">
        <f>IF(AF48="FAIL","",IF(AND(AM48&gt;0,N48&gt;0),ROUND((AB48/1000)*((1/(AM48/3.412))-(1/(N48/3.412))),References!$B$40),ROUND((AB48/1000)*-(1/(N48/3.412)),References!$B$40)))</f>
        <v/>
      </c>
      <c r="BD48" s="308" t="str">
        <f>IF(AF48="FAIL","",IF(AND(AK48=0,AL48=0),0,IF(AK48&gt;0,ROUND((AA48/1000)*((1/AK48)-(1/AY48))*Y48*AV48,References!$B$43),ROUND((AA48/1000)*((1/AL48)-(1/AY48))*Y48*AV48,References!$B$43))))</f>
        <v/>
      </c>
      <c r="BE48" s="308" t="str">
        <f>IF(BD48="","",BD48*References!$B$29)</f>
        <v/>
      </c>
      <c r="BF48" s="308" t="str">
        <f t="shared" si="47"/>
        <v/>
      </c>
      <c r="BG48" s="308" t="str">
        <f>IF(AF48="FAIL","",IF(AND(AZ48&gt;0,BA48&gt;0),ROUND((AB48/1000)*((1/BA48)-(1/AZ48))*Z48*AW48/3.413,References!$B$43),0))</f>
        <v/>
      </c>
      <c r="BH48" s="308" t="str">
        <f>IF(AF48="FAIL","",IF(AND(OR($AJ48="Existing Gas",$AJ48="Existing Oil",$AJ48="Existing Propane"),RIGHT(C48,10)="Heat Pumps"),IF(AND(AZ48&gt;0,AZ48&lt;&gt;""),ROUND(((AB48/1000)*((1/AZ48))*Z48*AW48/3.412),References!$B$43),0),0))</f>
        <v/>
      </c>
      <c r="BI48" s="308" t="str">
        <f>IF(AF48="FAIL","",(BG48*References!$B$29)-(BH48*References!$B$29))</f>
        <v/>
      </c>
      <c r="BJ48" s="308" t="str">
        <f t="shared" si="48"/>
        <v/>
      </c>
      <c r="BK48" s="308" t="str">
        <f t="shared" si="49"/>
        <v/>
      </c>
      <c r="BL48" s="343" t="str">
        <f t="shared" si="50"/>
        <v/>
      </c>
      <c r="BM48" s="343" t="str">
        <f t="shared" si="51"/>
        <v/>
      </c>
      <c r="BN48" s="343" t="str">
        <f t="shared" si="52"/>
        <v/>
      </c>
      <c r="BO48" s="649" t="str">
        <f t="shared" si="53"/>
        <v/>
      </c>
      <c r="BP48" s="649" t="str">
        <f t="shared" si="54"/>
        <v/>
      </c>
      <c r="BQ48" s="650" t="str">
        <f t="shared" si="55"/>
        <v/>
      </c>
      <c r="BR48" s="343" t="str">
        <f t="shared" si="56"/>
        <v/>
      </c>
      <c r="BS48" s="558">
        <f t="shared" si="57"/>
        <v>0</v>
      </c>
      <c r="BT48" s="566" t="e">
        <f t="shared" si="58"/>
        <v>#VALUE!</v>
      </c>
      <c r="BU48" s="526">
        <f t="shared" si="59"/>
        <v>0</v>
      </c>
      <c r="BX48" s="565" t="str">
        <f t="shared" si="33"/>
        <v xml:space="preserve">   All Other</v>
      </c>
      <c r="BY48" s="89" t="str">
        <f>IF(AF48="Fail","",INDEX(References!$AH$4:$AH$86,MATCH(Calculations!BX48,References!$AG$4:$AG$86,0)))</f>
        <v/>
      </c>
      <c r="BZ48" s="89" t="str">
        <f>IF(AF48="FAIL","",BL48*References!$B$21+IF(BM48&gt;0,BM48*References!$B$25,0))</f>
        <v/>
      </c>
      <c r="CA48" s="89" t="str">
        <f>IF(AF48="FAIL","",IF(BM48&gt;0,0,BM48)*References!$B$25+BF48*INDEX(References!$F$136:$F$142,MATCH(IF(LEFT(AJ48,8)="Baseline",LEFT(AJ48,8),AJ48),References!$D$136:$D$142,0)))</f>
        <v/>
      </c>
      <c r="CB48" s="89">
        <f>IF(BY48="",0,ROUND(INDEX(References!$E$118:$E$132,MATCH('Whole Building ccASHP Worksheet'!B28,References!$D$118:$D$132,0))*BB48,References!$B$40))</f>
        <v>0</v>
      </c>
    </row>
    <row r="49" spans="2:80" x14ac:dyDescent="0.3">
      <c r="B49" s="11">
        <v>10</v>
      </c>
      <c r="C49" s="15" t="str">
        <f>IF('Whole Building ccASHP Worksheet'!B29="","",'Whole Building ccASHP Worksheet'!B29)</f>
        <v/>
      </c>
      <c r="D49" s="13" t="str">
        <f>IF('Whole Building ccASHP Worksheet'!C29="","",'Whole Building ccASHP Worksheet'!C29)</f>
        <v/>
      </c>
      <c r="E49" s="13" t="str">
        <f>IF('Whole Building ccASHP Worksheet'!E29="","",'Whole Building ccASHP Worksheet'!E29)</f>
        <v/>
      </c>
      <c r="F49" s="13" t="str">
        <f>IF('Whole Building ccASHP Worksheet'!X29="","",'Whole Building ccASHP Worksheet'!X29)</f>
        <v/>
      </c>
      <c r="G49" s="13" t="str">
        <f>IF('Whole Building ccASHP Worksheet'!Y29="","",'Whole Building ccASHP Worksheet'!Y29)</f>
        <v/>
      </c>
      <c r="H49" s="565" t="str">
        <f t="shared" si="34"/>
        <v xml:space="preserve"> All Other</v>
      </c>
      <c r="I49" s="511" t="str">
        <f t="shared" si="28"/>
        <v xml:space="preserve">  </v>
      </c>
      <c r="J49" s="15" t="str">
        <f>IF('Whole Building ccASHP Worksheet'!I29="","",'Whole Building ccASHP Worksheet'!I29)</f>
        <v/>
      </c>
      <c r="K49" s="14" t="str">
        <f>IF('Whole Building ccASHP Worksheet'!J29="","",'Whole Building ccASHP Worksheet'!J29)</f>
        <v/>
      </c>
      <c r="L49" s="15" t="str">
        <f>IF('Whole Building ccASHP Worksheet'!K29="","",'Whole Building ccASHP Worksheet'!K29)</f>
        <v/>
      </c>
      <c r="M49" s="13" t="str">
        <f>IF('Whole Building ccASHP Worksheet'!L29="","",'Whole Building ccASHP Worksheet'!L29)</f>
        <v/>
      </c>
      <c r="N49" s="13" t="str">
        <f>IF('Whole Building ccASHP Worksheet'!M29="","",'Whole Building ccASHP Worksheet'!M29)</f>
        <v/>
      </c>
      <c r="O49" s="13" t="str">
        <f>IF('Whole Building ccASHP Worksheet'!N29="","",'Whole Building ccASHP Worksheet'!N29)</f>
        <v/>
      </c>
      <c r="P49" s="15" t="str">
        <f t="shared" si="29"/>
        <v/>
      </c>
      <c r="Q49" s="13" t="str">
        <f t="shared" si="30"/>
        <v/>
      </c>
      <c r="R49" s="13" t="str">
        <f t="shared" si="31"/>
        <v/>
      </c>
      <c r="S49" s="13" t="str">
        <f t="shared" si="32"/>
        <v/>
      </c>
      <c r="T49" s="15" t="str">
        <f t="shared" si="35"/>
        <v/>
      </c>
      <c r="U49" s="13" t="str">
        <f t="shared" si="36"/>
        <v/>
      </c>
      <c r="V49" s="13" t="str">
        <f t="shared" si="37"/>
        <v/>
      </c>
      <c r="W49" s="13" t="str">
        <f t="shared" si="38"/>
        <v/>
      </c>
      <c r="X49" s="15" t="str">
        <f>'Whole Building ccASHP Worksheet'!BuildingType</f>
        <v>Select …</v>
      </c>
      <c r="Y49" s="530" t="e">
        <f>IF(OR(X49="",X49="… please select …"),0,INDEX(References!$H$22:$H$43,MATCH(X49,References!$G$22:$G$43,0)))</f>
        <v>#N/A</v>
      </c>
      <c r="Z49" s="61" t="e">
        <f>IF(OR(X49="",X49="… please select …"),0,INDEX(References!$I$22:$I$43,MATCH(X49,References!$G$22:$G$43,0)))</f>
        <v>#N/A</v>
      </c>
      <c r="AA49" s="15" t="str">
        <f>IF(OR('Whole Building ccASHP Worksheet'!P29="",'Whole Building ccASHP Worksheet'!P29=0),"",'Whole Building ccASHP Worksheet'!P29)</f>
        <v/>
      </c>
      <c r="AB49" s="13" t="str">
        <f>IF(OR('Whole Building ccASHP Worksheet'!Q29="",'Whole Building ccASHP Worksheet'!Q29=0),"",'Whole Building ccASHP Worksheet'!Q29)</f>
        <v/>
      </c>
      <c r="AC49" s="530" t="str">
        <f t="shared" si="39"/>
        <v/>
      </c>
      <c r="AD49" s="530" t="str">
        <f t="shared" si="40"/>
        <v/>
      </c>
      <c r="AE49" s="61" t="str">
        <f t="shared" si="41"/>
        <v/>
      </c>
      <c r="AF49" s="511" t="str">
        <f t="shared" si="42"/>
        <v>FAIL</v>
      </c>
      <c r="AG49" s="10">
        <v>10</v>
      </c>
      <c r="AH49" s="21" t="str">
        <f t="shared" si="43"/>
        <v xml:space="preserve">  </v>
      </c>
      <c r="AI49" s="21" t="str">
        <f>IF(OR('Whole Building ccASHP Worksheet'!X29="",'Whole Building ccASHP Worksheet'!X29="None"),IF($I49="  ","","Baseline "&amp;INDEX(References!$W$4:$W$44,MATCH($I49,References!$T$4:$T$44,0))),"Existing "&amp;'Whole Building ccASHP Worksheet'!X29)</f>
        <v/>
      </c>
      <c r="AJ49" s="21" t="str">
        <f>IF(OR('Whole Building ccASHP Worksheet'!Y29="",'Whole Building ccASHP Worksheet'!Y29="None"),IF($I49="  ","","Baseline "&amp;INDEX(References!$W$4:$W$44,MATCH($I49,References!$T$4:$T$44,0))),"Existing "&amp;'Whole Building ccASHP Worksheet'!Y29)</f>
        <v/>
      </c>
      <c r="AK49" s="342" t="str">
        <f>_xlfn.IFNA(IF(OR('Whole Building ccASHP Worksheet'!AB29=0,'Whole Building ccASHP Worksheet'!AB29=""),IF(LEFT(I49,3)="pac",0,INDEX(References!$BL$5:$BL$45,MATCH(I49,References!$AY$5:$AY$45,0))),'Whole Building ccASHP Worksheet'!AB29),"")</f>
        <v/>
      </c>
      <c r="AL49" s="343" t="str">
        <f>IF(I49="  ","",IF('Whole Building ccASHP Worksheet'!AC29="",IF(LEFT(I49,3)="Pac",(INDEX(References!$BM$4:$BM$44,MATCH(I49,References!$AY$4:$AY$44,0)))-(0.3*J49*12000/1000),INDEX(References!$BM$4:$BM$44,MATCH(I49,References!$AY$4:$AY$44,0))),'Whole Building ccASHP Worksheet'!AC29))</f>
        <v/>
      </c>
      <c r="AM49" s="343" t="str">
        <f>IF(I49="  ","",IF(OR($AJ49="Existing Gas",$AJ49="Existing Oil",$AJ49="Existing Propane"),0,IF(AND('Whole Building ccASHP Worksheet'!AD29=0,'Whole Building ccASHP Worksheet'!AE29=0),IF(LEFT(I49,3)="pac",0,INDEX(References!$BN$5:$BN$44,MATCH(I49,References!$AY$5:$AY$44,0))),IF(AND('Whole Building ccASHP Worksheet'!AD29=0,'Whole Building ccASHP Worksheet'!AE29&gt;0),'Whole Building ccASHP Worksheet'!AE29*References!$B$49,'Whole Building ccASHP Worksheet'!AD29))))</f>
        <v/>
      </c>
      <c r="AN49" s="343" t="str">
        <f>IF($I49="  ","",IF(OR($AJ49="Existing Gas",$AJ49="Existing Oil",$AJ49="Existing Propane"),0,IF(OR('Whole Building ccASHP Worksheet'!AE29="",'Whole Building ccASHP Worksheet'!AE29=0),IF(LEFT(I49,3)="Pac",(INDEX(References!$BN$5:$BN$44,MATCH(I49,References!$AY$5:$AY$44,0)))-INDEX(References!$BO$5:$BO$44,MATCH(I49,References!$AY$5:$AY$44,0))*J49*12000/1000,INDEX(References!$BO$5:$BO$44,MATCH(I49,References!$AY$5:$AY$44,0))),'Whole Building ccASHP Worksheet'!AE29)))</f>
        <v/>
      </c>
      <c r="AO49" s="521" t="str">
        <f>IF($I49="  ","",IF(OR($AJ49="Existing Gas",$AJ49="Existing Oil",$AJ49="Existing Propane"),IF(OR('Whole Building ccASHP Worksheet'!AF29="",'Whole Building ccASHP Worksheet'!AF29=0),INDEX(References!$E$136:$E$139,MATCH(AJ49,References!$D$136:$D$139,0)),'Whole Building ccASHP Worksheet'!AF29),0))</f>
        <v/>
      </c>
      <c r="AP49" s="349">
        <f>IF(OR('Whole Building ccASHP Worksheet'!$B$15="Integrated/Modulating Control",'Whole Building ccASHP Worksheet'!$B$15="No Fossil Fuel Heating"),IF(K49&gt;=AB49,1,0.9),0.9)</f>
        <v>0.9</v>
      </c>
      <c r="AQ49" s="521" t="str">
        <f>IF(C49="","",INDEX(References!$M$56:$M$66,MATCH(C49&amp;" "&amp;'Whole Building ccASHP Worksheet'!$B$15&amp;" "&amp;AP49,References!$L$56:$L$66,0)))</f>
        <v/>
      </c>
      <c r="AR49" s="521" t="str">
        <f>IF(C49="","",INDEX(References!$N$56:$N$66,MATCH(C49&amp;" "&amp;'Whole Building ccASHP Worksheet'!$B$15&amp;" "&amp;AP49,References!$L$56:$L$66,0)))</f>
        <v/>
      </c>
      <c r="AS49" s="521" t="str">
        <f>IF(C49="","",INDEX(References!$O$56:$O$66,MATCH(C49&amp;" "&amp;'Whole Building ccASHP Worksheet'!$B$15&amp;" "&amp;AP49,References!$L$56:$L$66,0)))</f>
        <v/>
      </c>
      <c r="AT49" s="521" t="str">
        <f>IF(C49="","",INDEX(References!$P$56:$P$66,MATCH(C49&amp;" "&amp;'Whole Building ccASHP Worksheet'!$B$15&amp;" "&amp;AP49,References!$L$56:$L$66,0)))</f>
        <v/>
      </c>
      <c r="AU49" s="521" t="str">
        <f>IF(C49="","",INDEX(References!$Q$56:$Q$66,MATCH(C49&amp;" "&amp;'Whole Building ccASHP Worksheet'!$B$15&amp;" "&amp;AP49,References!$L$56:$L$66,0)))</f>
        <v/>
      </c>
      <c r="AV49" s="521" t="str">
        <f>IF(C49="","",INDEX(References!$R$56:$R$66,MATCH(C49&amp;" "&amp;'Whole Building ccASHP Worksheet'!$B$15&amp;" "&amp;AP49,References!$L$56:$L$66,0)))</f>
        <v/>
      </c>
      <c r="AW49" s="521" t="str">
        <f>IF(C49="","",INDEX(References!$S$56:$S$66,MATCH(C49&amp;" "&amp;'Whole Building ccASHP Worksheet'!$B$15&amp;" "&amp;AP49,References!$L$56:$L$66,0)))</f>
        <v/>
      </c>
      <c r="AX49" s="521" t="str">
        <f>IF(AM49="","",IF(AM49&lt;8.5,References!$M$69,References!$M$70))</f>
        <v/>
      </c>
      <c r="AY49" s="521" t="str">
        <f t="shared" si="44"/>
        <v/>
      </c>
      <c r="AZ49" s="521" t="str">
        <f t="shared" si="45"/>
        <v/>
      </c>
      <c r="BA49" s="521" t="str">
        <f t="shared" si="46"/>
        <v/>
      </c>
      <c r="BB49" s="212" t="str">
        <f>IF(AF49="FAIL","",IF(AND(AL49&gt;0,M49&gt;0),ROUND((AA49/1000)*((1/AL49)-(1/M49)),References!$B$40),0))</f>
        <v/>
      </c>
      <c r="BC49" s="308" t="str">
        <f>IF(AF49="FAIL","",IF(AND(AM49&gt;0,N49&gt;0),ROUND((AB49/1000)*((1/(AM49/3.412))-(1/(N49/3.412))),References!$B$40),ROUND((AB49/1000)*-(1/(N49/3.412)),References!$B$40)))</f>
        <v/>
      </c>
      <c r="BD49" s="308" t="str">
        <f>IF(AF49="FAIL","",IF(AND(AK49=0,AL49=0),0,IF(AK49&gt;0,ROUND((AA49/1000)*((1/AK49)-(1/AY49))*Y49*AV49,References!$B$43),ROUND((AA49/1000)*((1/AL49)-(1/AY49))*Y49*AV49,References!$B$43))))</f>
        <v/>
      </c>
      <c r="BE49" s="308" t="str">
        <f>IF(BD49="","",BD49*References!$B$29)</f>
        <v/>
      </c>
      <c r="BF49" s="308" t="str">
        <f t="shared" si="47"/>
        <v/>
      </c>
      <c r="BG49" s="308" t="str">
        <f>IF(AF49="FAIL","",IF(AND(AZ49&gt;0,BA49&gt;0),ROUND((AB49/1000)*((1/BA49)-(1/AZ49))*Z49*AW49/3.413,References!$B$43),0))</f>
        <v/>
      </c>
      <c r="BH49" s="308" t="str">
        <f>IF(AF49="FAIL","",IF(AND(OR($AJ49="Existing Gas",$AJ49="Existing Oil",$AJ49="Existing Propane"),RIGHT(C49,10)="Heat Pumps"),IF(AND(AZ49&gt;0,AZ49&lt;&gt;""),ROUND(((AB49/1000)*((1/AZ49))*Z49*AW49/3.412),References!$B$43),0),0))</f>
        <v/>
      </c>
      <c r="BI49" s="308" t="str">
        <f>IF(AF49="FAIL","",(BG49*References!$B$29)-(BH49*References!$B$29))</f>
        <v/>
      </c>
      <c r="BJ49" s="308" t="str">
        <f t="shared" si="48"/>
        <v/>
      </c>
      <c r="BK49" s="308" t="str">
        <f t="shared" si="49"/>
        <v/>
      </c>
      <c r="BL49" s="343" t="str">
        <f t="shared" si="50"/>
        <v/>
      </c>
      <c r="BM49" s="343" t="str">
        <f t="shared" si="51"/>
        <v/>
      </c>
      <c r="BN49" s="343" t="str">
        <f t="shared" si="52"/>
        <v/>
      </c>
      <c r="BO49" s="649" t="str">
        <f t="shared" si="53"/>
        <v/>
      </c>
      <c r="BP49" s="649" t="str">
        <f t="shared" si="54"/>
        <v/>
      </c>
      <c r="BQ49" s="650" t="str">
        <f t="shared" si="55"/>
        <v/>
      </c>
      <c r="BR49" s="343" t="str">
        <f t="shared" si="56"/>
        <v/>
      </c>
      <c r="BS49" s="558">
        <f t="shared" si="57"/>
        <v>0</v>
      </c>
      <c r="BT49" s="566" t="e">
        <f t="shared" si="58"/>
        <v>#VALUE!</v>
      </c>
      <c r="BU49" s="526">
        <f t="shared" si="59"/>
        <v>0</v>
      </c>
      <c r="BX49" s="565" t="str">
        <f t="shared" si="33"/>
        <v xml:space="preserve">   All Other</v>
      </c>
      <c r="BY49" s="89" t="str">
        <f>IF(AF49="Fail","",INDEX(References!$AH$4:$AH$86,MATCH(Calculations!BX49,References!$AG$4:$AG$86,0)))</f>
        <v/>
      </c>
      <c r="BZ49" s="89" t="str">
        <f>IF(AF49="FAIL","",BL49*References!$B$21+IF(BM49&gt;0,BM49*References!$B$25,0))</f>
        <v/>
      </c>
      <c r="CA49" s="89" t="str">
        <f>IF(AF49="FAIL","",IF(BM49&gt;0,0,BM49)*References!$B$25+BF49*INDEX(References!$F$136:$F$142,MATCH(IF(LEFT(AJ49,8)="Baseline",LEFT(AJ49,8),AJ49),References!$D$136:$D$142,0)))</f>
        <v/>
      </c>
      <c r="CB49" s="89">
        <f>IF(BY49="",0,ROUND(INDEX(References!$E$118:$E$132,MATCH('Whole Building ccASHP Worksheet'!B29,References!$D$118:$D$132,0))*BB49,References!$B$40))</f>
        <v>0</v>
      </c>
    </row>
    <row r="50" spans="2:80" x14ac:dyDescent="0.3">
      <c r="B50" s="11">
        <v>11</v>
      </c>
      <c r="C50" s="15" t="str">
        <f>IF('Whole Building ccASHP Worksheet'!B30="","",'Whole Building ccASHP Worksheet'!B30)</f>
        <v/>
      </c>
      <c r="D50" s="13" t="str">
        <f>IF('Whole Building ccASHP Worksheet'!C30="","",'Whole Building ccASHP Worksheet'!C30)</f>
        <v/>
      </c>
      <c r="E50" s="13" t="str">
        <f>IF('Whole Building ccASHP Worksheet'!E30="","",'Whole Building ccASHP Worksheet'!E30)</f>
        <v/>
      </c>
      <c r="F50" s="13" t="str">
        <f>IF('Whole Building ccASHP Worksheet'!X30="","",'Whole Building ccASHP Worksheet'!X30)</f>
        <v/>
      </c>
      <c r="G50" s="13" t="str">
        <f>IF('Whole Building ccASHP Worksheet'!Y30="","",'Whole Building ccASHP Worksheet'!Y30)</f>
        <v/>
      </c>
      <c r="H50" s="565" t="str">
        <f t="shared" si="34"/>
        <v xml:space="preserve"> All Other</v>
      </c>
      <c r="I50" s="511" t="str">
        <f t="shared" si="28"/>
        <v xml:space="preserve">  </v>
      </c>
      <c r="J50" s="15" t="str">
        <f>IF('Whole Building ccASHP Worksheet'!I30="","",'Whole Building ccASHP Worksheet'!I30)</f>
        <v/>
      </c>
      <c r="K50" s="14" t="str">
        <f>IF('Whole Building ccASHP Worksheet'!J30="","",'Whole Building ccASHP Worksheet'!J30)</f>
        <v/>
      </c>
      <c r="L50" s="15" t="str">
        <f>IF('Whole Building ccASHP Worksheet'!K30="","",'Whole Building ccASHP Worksheet'!K30)</f>
        <v/>
      </c>
      <c r="M50" s="13" t="str">
        <f>IF('Whole Building ccASHP Worksheet'!L30="","",'Whole Building ccASHP Worksheet'!L30)</f>
        <v/>
      </c>
      <c r="N50" s="13" t="str">
        <f>IF('Whole Building ccASHP Worksheet'!M30="","",'Whole Building ccASHP Worksheet'!M30)</f>
        <v/>
      </c>
      <c r="O50" s="13" t="str">
        <f>IF('Whole Building ccASHP Worksheet'!N30="","",'Whole Building ccASHP Worksheet'!N30)</f>
        <v/>
      </c>
      <c r="P50" s="15" t="str">
        <f t="shared" si="29"/>
        <v/>
      </c>
      <c r="Q50" s="13" t="str">
        <f t="shared" si="30"/>
        <v/>
      </c>
      <c r="R50" s="13" t="str">
        <f t="shared" si="31"/>
        <v/>
      </c>
      <c r="S50" s="13" t="str">
        <f t="shared" si="32"/>
        <v/>
      </c>
      <c r="T50" s="15" t="str">
        <f t="shared" si="35"/>
        <v/>
      </c>
      <c r="U50" s="13" t="str">
        <f t="shared" si="36"/>
        <v/>
      </c>
      <c r="V50" s="13" t="str">
        <f t="shared" si="37"/>
        <v/>
      </c>
      <c r="W50" s="13" t="str">
        <f t="shared" si="38"/>
        <v/>
      </c>
      <c r="X50" s="15" t="str">
        <f>'Whole Building ccASHP Worksheet'!BuildingType</f>
        <v>Select …</v>
      </c>
      <c r="Y50" s="530" t="e">
        <f>IF(OR(X50="",X50="… please select …"),0,INDEX(References!$H$22:$H$43,MATCH(X50,References!$G$22:$G$43,0)))</f>
        <v>#N/A</v>
      </c>
      <c r="Z50" s="61" t="e">
        <f>IF(OR(X50="",X50="… please select …"),0,INDEX(References!$I$22:$I$43,MATCH(X50,References!$G$22:$G$43,0)))</f>
        <v>#N/A</v>
      </c>
      <c r="AA50" s="15" t="str">
        <f>IF(OR('Whole Building ccASHP Worksheet'!P30="",'Whole Building ccASHP Worksheet'!P30=0),"",'Whole Building ccASHP Worksheet'!P30)</f>
        <v/>
      </c>
      <c r="AB50" s="13" t="str">
        <f>IF(OR('Whole Building ccASHP Worksheet'!Q30="",'Whole Building ccASHP Worksheet'!Q30=0),"",'Whole Building ccASHP Worksheet'!Q30)</f>
        <v/>
      </c>
      <c r="AC50" s="530" t="str">
        <f t="shared" si="39"/>
        <v/>
      </c>
      <c r="AD50" s="530" t="str">
        <f t="shared" si="40"/>
        <v/>
      </c>
      <c r="AE50" s="61" t="str">
        <f t="shared" si="41"/>
        <v/>
      </c>
      <c r="AF50" s="511" t="str">
        <f t="shared" si="42"/>
        <v>FAIL</v>
      </c>
      <c r="AG50" s="10">
        <v>11</v>
      </c>
      <c r="AH50" s="21" t="str">
        <f t="shared" si="43"/>
        <v xml:space="preserve">  </v>
      </c>
      <c r="AI50" s="21" t="str">
        <f>IF(OR('Whole Building ccASHP Worksheet'!X30="",'Whole Building ccASHP Worksheet'!X30="None"),IF($I50="  ","","Baseline "&amp;INDEX(References!$W$4:$W$44,MATCH($I50,References!$T$4:$T$44,0))),"Existing "&amp;'Whole Building ccASHP Worksheet'!X30)</f>
        <v/>
      </c>
      <c r="AJ50" s="21" t="str">
        <f>IF(OR('Whole Building ccASHP Worksheet'!Y30="",'Whole Building ccASHP Worksheet'!Y30="None"),IF($I50="  ","","Baseline "&amp;INDEX(References!$W$4:$W$44,MATCH($I50,References!$T$4:$T$44,0))),"Existing "&amp;'Whole Building ccASHP Worksheet'!Y30)</f>
        <v/>
      </c>
      <c r="AK50" s="342" t="str">
        <f>_xlfn.IFNA(IF(OR('Whole Building ccASHP Worksheet'!AB30=0,'Whole Building ccASHP Worksheet'!AB30=""),IF(LEFT(I50,3)="pac",0,INDEX(References!$BL$5:$BL$45,MATCH(I50,References!$AY$5:$AY$45,0))),'Whole Building ccASHP Worksheet'!AB30),"")</f>
        <v/>
      </c>
      <c r="AL50" s="343" t="str">
        <f>IF(I50="  ","",IF('Whole Building ccASHP Worksheet'!AC30="",IF(LEFT(I50,3)="Pac",(INDEX(References!$BM$4:$BM$44,MATCH(I50,References!$AY$4:$AY$44,0)))-(0.3*J50*12000/1000),INDEX(References!$BM$4:$BM$44,MATCH(I50,References!$AY$4:$AY$44,0))),'Whole Building ccASHP Worksheet'!AC30))</f>
        <v/>
      </c>
      <c r="AM50" s="343" t="str">
        <f>IF(I50="  ","",IF(OR($AJ50="Existing Gas",$AJ50="Existing Oil",$AJ50="Existing Propane"),0,IF(AND('Whole Building ccASHP Worksheet'!AD30=0,'Whole Building ccASHP Worksheet'!AE30=0),IF(LEFT(I50,3)="pac",0,INDEX(References!$BN$5:$BN$44,MATCH(I50,References!$AY$5:$AY$44,0))),IF(AND('Whole Building ccASHP Worksheet'!AD30=0,'Whole Building ccASHP Worksheet'!AE30&gt;0),'Whole Building ccASHP Worksheet'!AE30*References!$B$49,'Whole Building ccASHP Worksheet'!AD30))))</f>
        <v/>
      </c>
      <c r="AN50" s="343" t="str">
        <f>IF($I50="  ","",IF(OR($AJ50="Existing Gas",$AJ50="Existing Oil",$AJ50="Existing Propane"),0,IF(OR('Whole Building ccASHP Worksheet'!AE30="",'Whole Building ccASHP Worksheet'!AE30=0),IF(LEFT(I50,3)="Pac",(INDEX(References!$BN$5:$BN$44,MATCH(I50,References!$AY$5:$AY$44,0)))-INDEX(References!$BO$5:$BO$44,MATCH(I50,References!$AY$5:$AY$44,0))*J50*12000/1000,INDEX(References!$BO$5:$BO$44,MATCH(I50,References!$AY$5:$AY$44,0))),'Whole Building ccASHP Worksheet'!AE30)))</f>
        <v/>
      </c>
      <c r="AO50" s="521" t="str">
        <f>IF($I50="  ","",IF(OR($AJ50="Existing Gas",$AJ50="Existing Oil",$AJ50="Existing Propane"),IF(OR('Whole Building ccASHP Worksheet'!AF30="",'Whole Building ccASHP Worksheet'!AF30=0),INDEX(References!$E$136:$E$139,MATCH(AJ50,References!$D$136:$D$139,0)),'Whole Building ccASHP Worksheet'!AF30),0))</f>
        <v/>
      </c>
      <c r="AP50" s="349">
        <f>IF(OR('Whole Building ccASHP Worksheet'!$B$15="Integrated/Modulating Control",'Whole Building ccASHP Worksheet'!$B$15="No Fossil Fuel Heating"),IF(K50&gt;=AB50,1,0.9),0.9)</f>
        <v>0.9</v>
      </c>
      <c r="AQ50" s="521" t="str">
        <f>IF(C50="","",INDEX(References!$M$56:$M$66,MATCH(C50&amp;" "&amp;'Whole Building ccASHP Worksheet'!$B$15&amp;" "&amp;AP50,References!$L$56:$L$66,0)))</f>
        <v/>
      </c>
      <c r="AR50" s="521" t="str">
        <f>IF(C50="","",INDEX(References!$N$56:$N$66,MATCH(C50&amp;" "&amp;'Whole Building ccASHP Worksheet'!$B$15&amp;" "&amp;AP50,References!$L$56:$L$66,0)))</f>
        <v/>
      </c>
      <c r="AS50" s="521" t="str">
        <f>IF(C50="","",INDEX(References!$O$56:$O$66,MATCH(C50&amp;" "&amp;'Whole Building ccASHP Worksheet'!$B$15&amp;" "&amp;AP50,References!$L$56:$L$66,0)))</f>
        <v/>
      </c>
      <c r="AT50" s="521" t="str">
        <f>IF(C50="","",INDEX(References!$P$56:$P$66,MATCH(C50&amp;" "&amp;'Whole Building ccASHP Worksheet'!$B$15&amp;" "&amp;AP50,References!$L$56:$L$66,0)))</f>
        <v/>
      </c>
      <c r="AU50" s="521" t="str">
        <f>IF(C50="","",INDEX(References!$Q$56:$Q$66,MATCH(C50&amp;" "&amp;'Whole Building ccASHP Worksheet'!$B$15&amp;" "&amp;AP50,References!$L$56:$L$66,0)))</f>
        <v/>
      </c>
      <c r="AV50" s="521" t="str">
        <f>IF(C50="","",INDEX(References!$R$56:$R$66,MATCH(C50&amp;" "&amp;'Whole Building ccASHP Worksheet'!$B$15&amp;" "&amp;AP50,References!$L$56:$L$66,0)))</f>
        <v/>
      </c>
      <c r="AW50" s="521" t="str">
        <f>IF(C50="","",INDEX(References!$S$56:$S$66,MATCH(C50&amp;" "&amp;'Whole Building ccASHP Worksheet'!$B$15&amp;" "&amp;AP50,References!$L$56:$L$66,0)))</f>
        <v/>
      </c>
      <c r="AX50" s="521" t="str">
        <f>IF(AM50="","",IF(AM50&lt;8.5,References!$M$69,References!$M$70))</f>
        <v/>
      </c>
      <c r="AY50" s="521" t="str">
        <f t="shared" si="44"/>
        <v/>
      </c>
      <c r="AZ50" s="521" t="str">
        <f t="shared" si="45"/>
        <v/>
      </c>
      <c r="BA50" s="521" t="str">
        <f t="shared" si="46"/>
        <v/>
      </c>
      <c r="BB50" s="212" t="str">
        <f>IF(AF50="FAIL","",IF(AND(AL50&gt;0,M50&gt;0),ROUND((AA50/1000)*((1/AL50)-(1/M50)),References!$B$40),0))</f>
        <v/>
      </c>
      <c r="BC50" s="308" t="str">
        <f>IF(AF50="FAIL","",IF(AND(AM50&gt;0,N50&gt;0),ROUND((AB50/1000)*((1/(AM50/3.412))-(1/(N50/3.412))),References!$B$40),ROUND((AB50/1000)*-(1/(N50/3.412)),References!$B$40)))</f>
        <v/>
      </c>
      <c r="BD50" s="308" t="str">
        <f>IF(AF50="FAIL","",IF(AND(AK50=0,AL50=0),0,IF(AK50&gt;0,ROUND((AA50/1000)*((1/AK50)-(1/AY50))*Y50*AV50,References!$B$43),ROUND((AA50/1000)*((1/AL50)-(1/AY50))*Y50*AV50,References!$B$43))))</f>
        <v/>
      </c>
      <c r="BE50" s="308" t="str">
        <f>IF(BD50="","",BD50*References!$B$29)</f>
        <v/>
      </c>
      <c r="BF50" s="308" t="str">
        <f t="shared" si="47"/>
        <v/>
      </c>
      <c r="BG50" s="308" t="str">
        <f>IF(AF50="FAIL","",IF(AND(AZ50&gt;0,BA50&gt;0),ROUND((AB50/1000)*((1/BA50)-(1/AZ50))*Z50*AW50/3.413,References!$B$43),0))</f>
        <v/>
      </c>
      <c r="BH50" s="308" t="str">
        <f>IF(AF50="FAIL","",IF(AND(OR($AJ50="Existing Gas",$AJ50="Existing Oil",$AJ50="Existing Propane"),RIGHT(C50,10)="Heat Pumps"),IF(AND(AZ50&gt;0,AZ50&lt;&gt;""),ROUND(((AB50/1000)*((1/AZ50))*Z50*AW50/3.412),References!$B$43),0),0))</f>
        <v/>
      </c>
      <c r="BI50" s="308" t="str">
        <f>IF(AF50="FAIL","",(BG50*References!$B$29)-(BH50*References!$B$29))</f>
        <v/>
      </c>
      <c r="BJ50" s="308" t="str">
        <f t="shared" si="48"/>
        <v/>
      </c>
      <c r="BK50" s="308" t="str">
        <f t="shared" si="49"/>
        <v/>
      </c>
      <c r="BL50" s="343" t="str">
        <f t="shared" si="50"/>
        <v/>
      </c>
      <c r="BM50" s="343" t="str">
        <f t="shared" si="51"/>
        <v/>
      </c>
      <c r="BN50" s="343" t="str">
        <f t="shared" si="52"/>
        <v/>
      </c>
      <c r="BO50" s="649" t="str">
        <f t="shared" si="53"/>
        <v/>
      </c>
      <c r="BP50" s="649" t="str">
        <f t="shared" si="54"/>
        <v/>
      </c>
      <c r="BQ50" s="650" t="str">
        <f t="shared" si="55"/>
        <v/>
      </c>
      <c r="BR50" s="343" t="str">
        <f t="shared" si="56"/>
        <v/>
      </c>
      <c r="BS50" s="558">
        <f t="shared" si="57"/>
        <v>0</v>
      </c>
      <c r="BT50" s="566" t="e">
        <f t="shared" si="58"/>
        <v>#VALUE!</v>
      </c>
      <c r="BU50" s="526">
        <f t="shared" si="59"/>
        <v>0</v>
      </c>
      <c r="BX50" s="565" t="str">
        <f t="shared" si="33"/>
        <v xml:space="preserve">   All Other</v>
      </c>
      <c r="BY50" s="89" t="str">
        <f>IF(AF50="Fail","",INDEX(References!$AH$4:$AH$86,MATCH(Calculations!BX50,References!$AG$4:$AG$86,0)))</f>
        <v/>
      </c>
      <c r="BZ50" s="89" t="str">
        <f>IF(AF50="FAIL","",BL50*References!$B$21+IF(BM50&gt;0,BM50*References!$B$25,0))</f>
        <v/>
      </c>
      <c r="CA50" s="89" t="str">
        <f>IF(AF50="FAIL","",IF(BM50&gt;0,0,BM50)*References!$B$25+BF50*INDEX(References!$F$136:$F$142,MATCH(IF(LEFT(AJ50,8)="Baseline",LEFT(AJ50,8),AJ50),References!$D$136:$D$142,0)))</f>
        <v/>
      </c>
      <c r="CB50" s="89">
        <f>IF(BY50="",0,ROUND(INDEX(References!$E$118:$E$132,MATCH('Whole Building ccASHP Worksheet'!B30,References!$D$118:$D$132,0))*BB50,References!$B$40))</f>
        <v>0</v>
      </c>
    </row>
    <row r="51" spans="2:80" x14ac:dyDescent="0.3">
      <c r="B51" s="11">
        <v>12</v>
      </c>
      <c r="C51" s="15" t="str">
        <f>IF('Whole Building ccASHP Worksheet'!B31="","",'Whole Building ccASHP Worksheet'!B31)</f>
        <v/>
      </c>
      <c r="D51" s="13" t="str">
        <f>IF('Whole Building ccASHP Worksheet'!C31="","",'Whole Building ccASHP Worksheet'!C31)</f>
        <v/>
      </c>
      <c r="E51" s="13" t="str">
        <f>IF('Whole Building ccASHP Worksheet'!E31="","",'Whole Building ccASHP Worksheet'!E31)</f>
        <v/>
      </c>
      <c r="F51" s="13" t="str">
        <f>IF('Whole Building ccASHP Worksheet'!X31="","",'Whole Building ccASHP Worksheet'!X31)</f>
        <v/>
      </c>
      <c r="G51" s="13" t="str">
        <f>IF('Whole Building ccASHP Worksheet'!Y31="","",'Whole Building ccASHP Worksheet'!Y31)</f>
        <v/>
      </c>
      <c r="H51" s="565" t="str">
        <f t="shared" si="34"/>
        <v xml:space="preserve"> All Other</v>
      </c>
      <c r="I51" s="511" t="str">
        <f t="shared" si="28"/>
        <v xml:space="preserve">  </v>
      </c>
      <c r="J51" s="15" t="str">
        <f>IF('Whole Building ccASHP Worksheet'!I31="","",'Whole Building ccASHP Worksheet'!I31)</f>
        <v/>
      </c>
      <c r="K51" s="14" t="str">
        <f>IF('Whole Building ccASHP Worksheet'!J31="","",'Whole Building ccASHP Worksheet'!J31)</f>
        <v/>
      </c>
      <c r="L51" s="15" t="str">
        <f>IF('Whole Building ccASHP Worksheet'!K31="","",'Whole Building ccASHP Worksheet'!K31)</f>
        <v/>
      </c>
      <c r="M51" s="13" t="str">
        <f>IF('Whole Building ccASHP Worksheet'!L31="","",'Whole Building ccASHP Worksheet'!L31)</f>
        <v/>
      </c>
      <c r="N51" s="13" t="str">
        <f>IF('Whole Building ccASHP Worksheet'!M31="","",'Whole Building ccASHP Worksheet'!M31)</f>
        <v/>
      </c>
      <c r="O51" s="13" t="str">
        <f>IF('Whole Building ccASHP Worksheet'!N31="","",'Whole Building ccASHP Worksheet'!N31)</f>
        <v/>
      </c>
      <c r="P51" s="15" t="str">
        <f t="shared" si="29"/>
        <v/>
      </c>
      <c r="Q51" s="13" t="str">
        <f t="shared" si="30"/>
        <v/>
      </c>
      <c r="R51" s="13" t="str">
        <f t="shared" si="31"/>
        <v/>
      </c>
      <c r="S51" s="13" t="str">
        <f t="shared" si="32"/>
        <v/>
      </c>
      <c r="T51" s="15" t="str">
        <f t="shared" si="35"/>
        <v/>
      </c>
      <c r="U51" s="13" t="str">
        <f t="shared" si="36"/>
        <v/>
      </c>
      <c r="V51" s="13" t="str">
        <f t="shared" si="37"/>
        <v/>
      </c>
      <c r="W51" s="13" t="str">
        <f t="shared" si="38"/>
        <v/>
      </c>
      <c r="X51" s="15" t="str">
        <f>'Whole Building ccASHP Worksheet'!BuildingType</f>
        <v>Select …</v>
      </c>
      <c r="Y51" s="530" t="e">
        <f>IF(OR(X51="",X51="… please select …"),0,INDEX(References!$H$22:$H$43,MATCH(X51,References!$G$22:$G$43,0)))</f>
        <v>#N/A</v>
      </c>
      <c r="Z51" s="61" t="e">
        <f>IF(OR(X51="",X51="… please select …"),0,INDEX(References!$I$22:$I$43,MATCH(X51,References!$G$22:$G$43,0)))</f>
        <v>#N/A</v>
      </c>
      <c r="AA51" s="15" t="str">
        <f>IF(OR('Whole Building ccASHP Worksheet'!P31="",'Whole Building ccASHP Worksheet'!P31=0),"",'Whole Building ccASHP Worksheet'!P31)</f>
        <v/>
      </c>
      <c r="AB51" s="13" t="str">
        <f>IF(OR('Whole Building ccASHP Worksheet'!Q31="",'Whole Building ccASHP Worksheet'!Q31=0),"",'Whole Building ccASHP Worksheet'!Q31)</f>
        <v/>
      </c>
      <c r="AC51" s="530" t="str">
        <f t="shared" si="39"/>
        <v/>
      </c>
      <c r="AD51" s="530" t="str">
        <f t="shared" si="40"/>
        <v/>
      </c>
      <c r="AE51" s="61" t="str">
        <f t="shared" si="41"/>
        <v/>
      </c>
      <c r="AF51" s="511" t="str">
        <f t="shared" si="42"/>
        <v>FAIL</v>
      </c>
      <c r="AG51" s="10">
        <v>12</v>
      </c>
      <c r="AH51" s="21" t="str">
        <f t="shared" si="43"/>
        <v xml:space="preserve">  </v>
      </c>
      <c r="AI51" s="21" t="str">
        <f>IF(OR('Whole Building ccASHP Worksheet'!X31="",'Whole Building ccASHP Worksheet'!X31="None"),IF($I51="  ","","Baseline "&amp;INDEX(References!$W$4:$W$44,MATCH($I51,References!$T$4:$T$44,0))),"Existing "&amp;'Whole Building ccASHP Worksheet'!X31)</f>
        <v/>
      </c>
      <c r="AJ51" s="21" t="str">
        <f>IF(OR('Whole Building ccASHP Worksheet'!Y31="",'Whole Building ccASHP Worksheet'!Y31="None"),IF($I51="  ","","Baseline "&amp;INDEX(References!$W$4:$W$44,MATCH($I51,References!$T$4:$T$44,0))),"Existing "&amp;'Whole Building ccASHP Worksheet'!Y31)</f>
        <v/>
      </c>
      <c r="AK51" s="342" t="str">
        <f>_xlfn.IFNA(IF(OR('Whole Building ccASHP Worksheet'!AB31=0,'Whole Building ccASHP Worksheet'!AB31=""),IF(LEFT(I51,3)="pac",0,INDEX(References!$BL$5:$BL$45,MATCH(I51,References!$AY$5:$AY$45,0))),'Whole Building ccASHP Worksheet'!AB31),"")</f>
        <v/>
      </c>
      <c r="AL51" s="343" t="str">
        <f>IF(I51="  ","",IF('Whole Building ccASHP Worksheet'!AC31="",IF(LEFT(I51,3)="Pac",(INDEX(References!$BM$4:$BM$44,MATCH(I51,References!$AY$4:$AY$44,0)))-(0.3*J51*12000/1000),INDEX(References!$BM$4:$BM$44,MATCH(I51,References!$AY$4:$AY$44,0))),'Whole Building ccASHP Worksheet'!AC31))</f>
        <v/>
      </c>
      <c r="AM51" s="343" t="str">
        <f>IF(I51="  ","",IF(OR($AJ51="Existing Gas",$AJ51="Existing Oil",$AJ51="Existing Propane"),0,IF(AND('Whole Building ccASHP Worksheet'!AD31=0,'Whole Building ccASHP Worksheet'!AE31=0),IF(LEFT(I51,3)="pac",0,INDEX(References!$BN$5:$BN$44,MATCH(I51,References!$AY$5:$AY$44,0))),IF(AND('Whole Building ccASHP Worksheet'!AD31=0,'Whole Building ccASHP Worksheet'!AE31&gt;0),'Whole Building ccASHP Worksheet'!AE31*References!$B$49,'Whole Building ccASHP Worksheet'!AD31))))</f>
        <v/>
      </c>
      <c r="AN51" s="343" t="str">
        <f>IF($I51="  ","",IF(OR($AJ51="Existing Gas",$AJ51="Existing Oil",$AJ51="Existing Propane"),0,IF(OR('Whole Building ccASHP Worksheet'!AE31="",'Whole Building ccASHP Worksheet'!AE31=0),IF(LEFT(I51,3)="Pac",(INDEX(References!$BN$5:$BN$44,MATCH(I51,References!$AY$5:$AY$44,0)))-INDEX(References!$BO$5:$BO$44,MATCH(I51,References!$AY$5:$AY$44,0))*J51*12000/1000,INDEX(References!$BO$5:$BO$44,MATCH(I51,References!$AY$5:$AY$44,0))),'Whole Building ccASHP Worksheet'!AE31)))</f>
        <v/>
      </c>
      <c r="AO51" s="521" t="str">
        <f>IF($I51="  ","",IF(OR($AJ51="Existing Gas",$AJ51="Existing Oil",$AJ51="Existing Propane"),IF(OR('Whole Building ccASHP Worksheet'!AF31="",'Whole Building ccASHP Worksheet'!AF31=0),INDEX(References!$E$136:$E$139,MATCH(AJ51,References!$D$136:$D$139,0)),'Whole Building ccASHP Worksheet'!AF31),0))</f>
        <v/>
      </c>
      <c r="AP51" s="349">
        <f>IF(OR('Whole Building ccASHP Worksheet'!$B$15="Integrated/Modulating Control",'Whole Building ccASHP Worksheet'!$B$15="No Fossil Fuel Heating"),IF(K51&gt;=AB51,1,0.9),0.9)</f>
        <v>0.9</v>
      </c>
      <c r="AQ51" s="521" t="str">
        <f>IF(C51="","",INDEX(References!$M$56:$M$66,MATCH(C51&amp;" "&amp;'Whole Building ccASHP Worksheet'!$B$15&amp;" "&amp;AP51,References!$L$56:$L$66,0)))</f>
        <v/>
      </c>
      <c r="AR51" s="521" t="str">
        <f>IF(C51="","",INDEX(References!$N$56:$N$66,MATCH(C51&amp;" "&amp;'Whole Building ccASHP Worksheet'!$B$15&amp;" "&amp;AP51,References!$L$56:$L$66,0)))</f>
        <v/>
      </c>
      <c r="AS51" s="521" t="str">
        <f>IF(C51="","",INDEX(References!$O$56:$O$66,MATCH(C51&amp;" "&amp;'Whole Building ccASHP Worksheet'!$B$15&amp;" "&amp;AP51,References!$L$56:$L$66,0)))</f>
        <v/>
      </c>
      <c r="AT51" s="521" t="str">
        <f>IF(C51="","",INDEX(References!$P$56:$P$66,MATCH(C51&amp;" "&amp;'Whole Building ccASHP Worksheet'!$B$15&amp;" "&amp;AP51,References!$L$56:$L$66,0)))</f>
        <v/>
      </c>
      <c r="AU51" s="521" t="str">
        <f>IF(C51="","",INDEX(References!$Q$56:$Q$66,MATCH(C51&amp;" "&amp;'Whole Building ccASHP Worksheet'!$B$15&amp;" "&amp;AP51,References!$L$56:$L$66,0)))</f>
        <v/>
      </c>
      <c r="AV51" s="521" t="str">
        <f>IF(C51="","",INDEX(References!$R$56:$R$66,MATCH(C51&amp;" "&amp;'Whole Building ccASHP Worksheet'!$B$15&amp;" "&amp;AP51,References!$L$56:$L$66,0)))</f>
        <v/>
      </c>
      <c r="AW51" s="521" t="str">
        <f>IF(C51="","",INDEX(References!$S$56:$S$66,MATCH(C51&amp;" "&amp;'Whole Building ccASHP Worksheet'!$B$15&amp;" "&amp;AP51,References!$L$56:$L$66,0)))</f>
        <v/>
      </c>
      <c r="AX51" s="521" t="str">
        <f>IF(AM51="","",IF(AM51&lt;8.5,References!$M$69,References!$M$70))</f>
        <v/>
      </c>
      <c r="AY51" s="521" t="str">
        <f t="shared" si="44"/>
        <v/>
      </c>
      <c r="AZ51" s="521" t="str">
        <f t="shared" si="45"/>
        <v/>
      </c>
      <c r="BA51" s="521" t="str">
        <f t="shared" si="46"/>
        <v/>
      </c>
      <c r="BB51" s="212" t="str">
        <f>IF(AF51="FAIL","",IF(AND(AL51&gt;0,M51&gt;0),ROUND((AA51/1000)*((1/AL51)-(1/M51)),References!$B$40),0))</f>
        <v/>
      </c>
      <c r="BC51" s="308" t="str">
        <f>IF(AF51="FAIL","",IF(AND(AM51&gt;0,N51&gt;0),ROUND((AB51/1000)*((1/(AM51/3.412))-(1/(N51/3.412))),References!$B$40),ROUND((AB51/1000)*-(1/(N51/3.412)),References!$B$40)))</f>
        <v/>
      </c>
      <c r="BD51" s="308" t="str">
        <f>IF(AF51="FAIL","",IF(AND(AK51=0,AL51=0),0,IF(AK51&gt;0,ROUND((AA51/1000)*((1/AK51)-(1/AY51))*Y51*AV51,References!$B$43),ROUND((AA51/1000)*((1/AL51)-(1/AY51))*Y51*AV51,References!$B$43))))</f>
        <v/>
      </c>
      <c r="BE51" s="308" t="str">
        <f>IF(BD51="","",BD51*References!$B$29)</f>
        <v/>
      </c>
      <c r="BF51" s="308" t="str">
        <f t="shared" si="47"/>
        <v/>
      </c>
      <c r="BG51" s="308" t="str">
        <f>IF(AF51="FAIL","",IF(AND(AZ51&gt;0,BA51&gt;0),ROUND((AB51/1000)*((1/BA51)-(1/AZ51))*Z51*AW51/3.413,References!$B$43),0))</f>
        <v/>
      </c>
      <c r="BH51" s="308" t="str">
        <f>IF(AF51="FAIL","",IF(AND(OR($AJ51="Existing Gas",$AJ51="Existing Oil",$AJ51="Existing Propane"),RIGHT(C51,10)="Heat Pumps"),IF(AND(AZ51&gt;0,AZ51&lt;&gt;""),ROUND(((AB51/1000)*((1/AZ51))*Z51*AW51/3.412),References!$B$43),0),0))</f>
        <v/>
      </c>
      <c r="BI51" s="308" t="str">
        <f>IF(AF51="FAIL","",(BG51*References!$B$29)-(BH51*References!$B$29))</f>
        <v/>
      </c>
      <c r="BJ51" s="308" t="str">
        <f t="shared" si="48"/>
        <v/>
      </c>
      <c r="BK51" s="308" t="str">
        <f t="shared" si="49"/>
        <v/>
      </c>
      <c r="BL51" s="343" t="str">
        <f t="shared" si="50"/>
        <v/>
      </c>
      <c r="BM51" s="343" t="str">
        <f t="shared" si="51"/>
        <v/>
      </c>
      <c r="BN51" s="343" t="str">
        <f t="shared" si="52"/>
        <v/>
      </c>
      <c r="BO51" s="649" t="str">
        <f t="shared" si="53"/>
        <v/>
      </c>
      <c r="BP51" s="649" t="str">
        <f t="shared" si="54"/>
        <v/>
      </c>
      <c r="BQ51" s="650" t="str">
        <f t="shared" si="55"/>
        <v/>
      </c>
      <c r="BR51" s="343" t="str">
        <f t="shared" si="56"/>
        <v/>
      </c>
      <c r="BS51" s="558">
        <f t="shared" si="57"/>
        <v>0</v>
      </c>
      <c r="BT51" s="566" t="e">
        <f t="shared" si="58"/>
        <v>#VALUE!</v>
      </c>
      <c r="BU51" s="526">
        <f t="shared" si="59"/>
        <v>0</v>
      </c>
      <c r="BX51" s="565" t="str">
        <f t="shared" si="33"/>
        <v xml:space="preserve">   All Other</v>
      </c>
      <c r="BY51" s="89" t="str">
        <f>IF(AF51="Fail","",INDEX(References!$AH$4:$AH$86,MATCH(Calculations!BX51,References!$AG$4:$AG$86,0)))</f>
        <v/>
      </c>
      <c r="BZ51" s="89" t="str">
        <f>IF(AF51="FAIL","",BL51*References!$B$21+IF(BM51&gt;0,BM51*References!$B$25,0))</f>
        <v/>
      </c>
      <c r="CA51" s="89" t="str">
        <f>IF(AF51="FAIL","",IF(BM51&gt;0,0,BM51)*References!$B$25+BF51*INDEX(References!$F$136:$F$142,MATCH(IF(LEFT(AJ51,8)="Baseline",LEFT(AJ51,8),AJ51),References!$D$136:$D$142,0)))</f>
        <v/>
      </c>
      <c r="CB51" s="89">
        <f>IF(BY51="",0,ROUND(INDEX(References!$E$118:$E$132,MATCH('Whole Building ccASHP Worksheet'!B31,References!$D$118:$D$132,0))*BB51,References!$B$40))</f>
        <v>0</v>
      </c>
    </row>
    <row r="52" spans="2:80" x14ac:dyDescent="0.3">
      <c r="B52" s="11">
        <v>13</v>
      </c>
      <c r="C52" s="15" t="str">
        <f>IF('Whole Building ccASHP Worksheet'!B32="","",'Whole Building ccASHP Worksheet'!B32)</f>
        <v/>
      </c>
      <c r="D52" s="13" t="str">
        <f>IF('Whole Building ccASHP Worksheet'!C32="","",'Whole Building ccASHP Worksheet'!C32)</f>
        <v/>
      </c>
      <c r="E52" s="13" t="str">
        <f>IF('Whole Building ccASHP Worksheet'!E32="","",'Whole Building ccASHP Worksheet'!E32)</f>
        <v/>
      </c>
      <c r="F52" s="13" t="str">
        <f>IF('Whole Building ccASHP Worksheet'!X32="","",'Whole Building ccASHP Worksheet'!X32)</f>
        <v/>
      </c>
      <c r="G52" s="13" t="str">
        <f>IF('Whole Building ccASHP Worksheet'!Y32="","",'Whole Building ccASHP Worksheet'!Y32)</f>
        <v/>
      </c>
      <c r="H52" s="565" t="str">
        <f t="shared" si="34"/>
        <v xml:space="preserve"> All Other</v>
      </c>
      <c r="I52" s="511" t="str">
        <f t="shared" si="28"/>
        <v xml:space="preserve">  </v>
      </c>
      <c r="J52" s="15" t="str">
        <f>IF('Whole Building ccASHP Worksheet'!I32="","",'Whole Building ccASHP Worksheet'!I32)</f>
        <v/>
      </c>
      <c r="K52" s="14" t="str">
        <f>IF('Whole Building ccASHP Worksheet'!J32="","",'Whole Building ccASHP Worksheet'!J32)</f>
        <v/>
      </c>
      <c r="L52" s="15" t="str">
        <f>IF('Whole Building ccASHP Worksheet'!K32="","",'Whole Building ccASHP Worksheet'!K32)</f>
        <v/>
      </c>
      <c r="M52" s="13" t="str">
        <f>IF('Whole Building ccASHP Worksheet'!L32="","",'Whole Building ccASHP Worksheet'!L32)</f>
        <v/>
      </c>
      <c r="N52" s="13" t="str">
        <f>IF('Whole Building ccASHP Worksheet'!M32="","",'Whole Building ccASHP Worksheet'!M32)</f>
        <v/>
      </c>
      <c r="O52" s="13" t="str">
        <f>IF('Whole Building ccASHP Worksheet'!N32="","",'Whole Building ccASHP Worksheet'!N32)</f>
        <v/>
      </c>
      <c r="P52" s="15" t="str">
        <f t="shared" si="29"/>
        <v/>
      </c>
      <c r="Q52" s="13" t="str">
        <f t="shared" si="30"/>
        <v/>
      </c>
      <c r="R52" s="13" t="str">
        <f t="shared" si="31"/>
        <v/>
      </c>
      <c r="S52" s="13" t="str">
        <f t="shared" si="32"/>
        <v/>
      </c>
      <c r="T52" s="15" t="str">
        <f t="shared" si="35"/>
        <v/>
      </c>
      <c r="U52" s="13" t="str">
        <f t="shared" si="36"/>
        <v/>
      </c>
      <c r="V52" s="13" t="str">
        <f t="shared" si="37"/>
        <v/>
      </c>
      <c r="W52" s="13" t="str">
        <f t="shared" si="38"/>
        <v/>
      </c>
      <c r="X52" s="15" t="str">
        <f>'Whole Building ccASHP Worksheet'!BuildingType</f>
        <v>Select …</v>
      </c>
      <c r="Y52" s="530" t="e">
        <f>IF(OR(X52="",X52="… please select …"),0,INDEX(References!$H$22:$H$43,MATCH(X52,References!$G$22:$G$43,0)))</f>
        <v>#N/A</v>
      </c>
      <c r="Z52" s="61" t="e">
        <f>IF(OR(X52="",X52="… please select …"),0,INDEX(References!$I$22:$I$43,MATCH(X52,References!$G$22:$G$43,0)))</f>
        <v>#N/A</v>
      </c>
      <c r="AA52" s="15" t="str">
        <f>IF(OR('Whole Building ccASHP Worksheet'!P32="",'Whole Building ccASHP Worksheet'!P32=0),"",'Whole Building ccASHP Worksheet'!P32)</f>
        <v/>
      </c>
      <c r="AB52" s="13" t="str">
        <f>IF(OR('Whole Building ccASHP Worksheet'!Q32="",'Whole Building ccASHP Worksheet'!Q32=0),"",'Whole Building ccASHP Worksheet'!Q32)</f>
        <v/>
      </c>
      <c r="AC52" s="530" t="str">
        <f t="shared" si="39"/>
        <v/>
      </c>
      <c r="AD52" s="530" t="str">
        <f t="shared" si="40"/>
        <v/>
      </c>
      <c r="AE52" s="61" t="str">
        <f t="shared" si="41"/>
        <v/>
      </c>
      <c r="AF52" s="511" t="str">
        <f t="shared" si="42"/>
        <v>FAIL</v>
      </c>
      <c r="AG52" s="10">
        <v>13</v>
      </c>
      <c r="AH52" s="21" t="str">
        <f t="shared" si="43"/>
        <v xml:space="preserve">  </v>
      </c>
      <c r="AI52" s="21" t="str">
        <f>IF(OR('Whole Building ccASHP Worksheet'!X32="",'Whole Building ccASHP Worksheet'!X32="None"),IF($I52="  ","","Baseline "&amp;INDEX(References!$W$4:$W$44,MATCH($I52,References!$T$4:$T$44,0))),"Existing "&amp;'Whole Building ccASHP Worksheet'!X32)</f>
        <v/>
      </c>
      <c r="AJ52" s="21" t="str">
        <f>IF(OR('Whole Building ccASHP Worksheet'!Y32="",'Whole Building ccASHP Worksheet'!Y32="None"),IF($I52="  ","","Baseline "&amp;INDEX(References!$W$4:$W$44,MATCH($I52,References!$T$4:$T$44,0))),"Existing "&amp;'Whole Building ccASHP Worksheet'!Y32)</f>
        <v/>
      </c>
      <c r="AK52" s="342" t="str">
        <f>_xlfn.IFNA(IF(OR('Whole Building ccASHP Worksheet'!AB32=0,'Whole Building ccASHP Worksheet'!AB32=""),IF(LEFT(I52,3)="pac",0,INDEX(References!$BL$5:$BL$45,MATCH(I52,References!$AY$5:$AY$45,0))),'Whole Building ccASHP Worksheet'!AB32),"")</f>
        <v/>
      </c>
      <c r="AL52" s="343" t="str">
        <f>IF(I52="  ","",IF('Whole Building ccASHP Worksheet'!AC32="",IF(LEFT(I52,3)="Pac",(INDEX(References!$BM$4:$BM$44,MATCH(I52,References!$AY$4:$AY$44,0)))-(0.3*J52*12000/1000),INDEX(References!$BM$4:$BM$44,MATCH(I52,References!$AY$4:$AY$44,0))),'Whole Building ccASHP Worksheet'!AC32))</f>
        <v/>
      </c>
      <c r="AM52" s="343" t="str">
        <f>IF(I52="  ","",IF(OR($AJ52="Existing Gas",$AJ52="Existing Oil",$AJ52="Existing Propane"),0,IF(AND('Whole Building ccASHP Worksheet'!AD32=0,'Whole Building ccASHP Worksheet'!AE32=0),IF(LEFT(I52,3)="pac",0,INDEX(References!$BN$5:$BN$44,MATCH(I52,References!$AY$5:$AY$44,0))),IF(AND('Whole Building ccASHP Worksheet'!AD32=0,'Whole Building ccASHP Worksheet'!AE32&gt;0),'Whole Building ccASHP Worksheet'!AE32*References!$B$49,'Whole Building ccASHP Worksheet'!AD32))))</f>
        <v/>
      </c>
      <c r="AN52" s="343" t="str">
        <f>IF($I52="  ","",IF(OR($AJ52="Existing Gas",$AJ52="Existing Oil",$AJ52="Existing Propane"),0,IF(OR('Whole Building ccASHP Worksheet'!AE32="",'Whole Building ccASHP Worksheet'!AE32=0),IF(LEFT(I52,3)="Pac",(INDEX(References!$BN$5:$BN$44,MATCH(I52,References!$AY$5:$AY$44,0)))-INDEX(References!$BO$5:$BO$44,MATCH(I52,References!$AY$5:$AY$44,0))*J52*12000/1000,INDEX(References!$BO$5:$BO$44,MATCH(I52,References!$AY$5:$AY$44,0))),'Whole Building ccASHP Worksheet'!AE32)))</f>
        <v/>
      </c>
      <c r="AO52" s="521" t="str">
        <f>IF($I52="  ","",IF(OR($AJ52="Existing Gas",$AJ52="Existing Oil",$AJ52="Existing Propane"),IF(OR('Whole Building ccASHP Worksheet'!AF32="",'Whole Building ccASHP Worksheet'!AF32=0),INDEX(References!$E$136:$E$139,MATCH(AJ52,References!$D$136:$D$139,0)),'Whole Building ccASHP Worksheet'!AF32),0))</f>
        <v/>
      </c>
      <c r="AP52" s="349">
        <f>IF(OR('Whole Building ccASHP Worksheet'!$B$15="Integrated/Modulating Control",'Whole Building ccASHP Worksheet'!$B$15="No Fossil Fuel Heating"),IF(K52&gt;=AB52,1,0.9),0.9)</f>
        <v>0.9</v>
      </c>
      <c r="AQ52" s="521" t="str">
        <f>IF(C52="","",INDEX(References!$M$56:$M$66,MATCH(C52&amp;" "&amp;'Whole Building ccASHP Worksheet'!$B$15&amp;" "&amp;AP52,References!$L$56:$L$66,0)))</f>
        <v/>
      </c>
      <c r="AR52" s="521" t="str">
        <f>IF(C52="","",INDEX(References!$N$56:$N$66,MATCH(C52&amp;" "&amp;'Whole Building ccASHP Worksheet'!$B$15&amp;" "&amp;AP52,References!$L$56:$L$66,0)))</f>
        <v/>
      </c>
      <c r="AS52" s="521" t="str">
        <f>IF(C52="","",INDEX(References!$O$56:$O$66,MATCH(C52&amp;" "&amp;'Whole Building ccASHP Worksheet'!$B$15&amp;" "&amp;AP52,References!$L$56:$L$66,0)))</f>
        <v/>
      </c>
      <c r="AT52" s="521" t="str">
        <f>IF(C52="","",INDEX(References!$P$56:$P$66,MATCH(C52&amp;" "&amp;'Whole Building ccASHP Worksheet'!$B$15&amp;" "&amp;AP52,References!$L$56:$L$66,0)))</f>
        <v/>
      </c>
      <c r="AU52" s="521" t="str">
        <f>IF(C52="","",INDEX(References!$Q$56:$Q$66,MATCH(C52&amp;" "&amp;'Whole Building ccASHP Worksheet'!$B$15&amp;" "&amp;AP52,References!$L$56:$L$66,0)))</f>
        <v/>
      </c>
      <c r="AV52" s="521" t="str">
        <f>IF(C52="","",INDEX(References!$R$56:$R$66,MATCH(C52&amp;" "&amp;'Whole Building ccASHP Worksheet'!$B$15&amp;" "&amp;AP52,References!$L$56:$L$66,0)))</f>
        <v/>
      </c>
      <c r="AW52" s="521" t="str">
        <f>IF(C52="","",INDEX(References!$S$56:$S$66,MATCH(C52&amp;" "&amp;'Whole Building ccASHP Worksheet'!$B$15&amp;" "&amp;AP52,References!$L$56:$L$66,0)))</f>
        <v/>
      </c>
      <c r="AX52" s="521" t="str">
        <f>IF(AM52="","",IF(AM52&lt;8.5,References!$M$69,References!$M$70))</f>
        <v/>
      </c>
      <c r="AY52" s="521" t="str">
        <f t="shared" si="44"/>
        <v/>
      </c>
      <c r="AZ52" s="521" t="str">
        <f t="shared" si="45"/>
        <v/>
      </c>
      <c r="BA52" s="521" t="str">
        <f t="shared" si="46"/>
        <v/>
      </c>
      <c r="BB52" s="212" t="str">
        <f>IF(AF52="FAIL","",IF(AND(AL52&gt;0,M52&gt;0),ROUND((AA52/1000)*((1/AL52)-(1/M52)),References!$B$40),0))</f>
        <v/>
      </c>
      <c r="BC52" s="308" t="str">
        <f>IF(AF52="FAIL","",IF(AND(AM52&gt;0,N52&gt;0),ROUND((AB52/1000)*((1/(AM52/3.412))-(1/(N52/3.412))),References!$B$40),ROUND((AB52/1000)*-(1/(N52/3.412)),References!$B$40)))</f>
        <v/>
      </c>
      <c r="BD52" s="308" t="str">
        <f>IF(AF52="FAIL","",IF(AND(AK52=0,AL52=0),0,IF(AK52&gt;0,ROUND((AA52/1000)*((1/AK52)-(1/AY52))*Y52*AV52,References!$B$43),ROUND((AA52/1000)*((1/AL52)-(1/AY52))*Y52*AV52,References!$B$43))))</f>
        <v/>
      </c>
      <c r="BE52" s="308" t="str">
        <f>IF(BD52="","",BD52*References!$B$29)</f>
        <v/>
      </c>
      <c r="BF52" s="308" t="str">
        <f t="shared" si="47"/>
        <v/>
      </c>
      <c r="BG52" s="308" t="str">
        <f>IF(AF52="FAIL","",IF(AND(AZ52&gt;0,BA52&gt;0),ROUND((AB52/1000)*((1/BA52)-(1/AZ52))*Z52*AW52/3.413,References!$B$43),0))</f>
        <v/>
      </c>
      <c r="BH52" s="308" t="str">
        <f>IF(AF52="FAIL","",IF(AND(OR($AJ52="Existing Gas",$AJ52="Existing Oil",$AJ52="Existing Propane"),RIGHT(C52,10)="Heat Pumps"),IF(AND(AZ52&gt;0,AZ52&lt;&gt;""),ROUND(((AB52/1000)*((1/AZ52))*Z52*AW52/3.412),References!$B$43),0),0))</f>
        <v/>
      </c>
      <c r="BI52" s="308" t="str">
        <f>IF(AF52="FAIL","",(BG52*References!$B$29)-(BH52*References!$B$29))</f>
        <v/>
      </c>
      <c r="BJ52" s="308" t="str">
        <f t="shared" si="48"/>
        <v/>
      </c>
      <c r="BK52" s="308" t="str">
        <f t="shared" si="49"/>
        <v/>
      </c>
      <c r="BL52" s="343" t="str">
        <f t="shared" si="50"/>
        <v/>
      </c>
      <c r="BM52" s="343" t="str">
        <f t="shared" si="51"/>
        <v/>
      </c>
      <c r="BN52" s="343" t="str">
        <f t="shared" si="52"/>
        <v/>
      </c>
      <c r="BO52" s="649" t="str">
        <f t="shared" si="53"/>
        <v/>
      </c>
      <c r="BP52" s="649" t="str">
        <f t="shared" si="54"/>
        <v/>
      </c>
      <c r="BQ52" s="650" t="str">
        <f t="shared" si="55"/>
        <v/>
      </c>
      <c r="BR52" s="343" t="str">
        <f t="shared" si="56"/>
        <v/>
      </c>
      <c r="BS52" s="558">
        <f t="shared" si="57"/>
        <v>0</v>
      </c>
      <c r="BT52" s="566" t="e">
        <f t="shared" si="58"/>
        <v>#VALUE!</v>
      </c>
      <c r="BU52" s="526">
        <f t="shared" si="59"/>
        <v>0</v>
      </c>
      <c r="BX52" s="565" t="str">
        <f t="shared" si="33"/>
        <v xml:space="preserve">   All Other</v>
      </c>
      <c r="BY52" s="89" t="str">
        <f>IF(AF52="Fail","",INDEX(References!$AH$4:$AH$86,MATCH(Calculations!BX52,References!$AG$4:$AG$86,0)))</f>
        <v/>
      </c>
      <c r="BZ52" s="89" t="str">
        <f>IF(AF52="FAIL","",BL52*References!$B$21+IF(BM52&gt;0,BM52*References!$B$25,0))</f>
        <v/>
      </c>
      <c r="CA52" s="89" t="str">
        <f>IF(AF52="FAIL","",IF(BM52&gt;0,0,BM52)*References!$B$25+BF52*INDEX(References!$F$136:$F$142,MATCH(IF(LEFT(AJ52,8)="Baseline",LEFT(AJ52,8),AJ52),References!$D$136:$D$142,0)))</f>
        <v/>
      </c>
      <c r="CB52" s="89">
        <f>IF(BY52="",0,ROUND(INDEX(References!$E$118:$E$132,MATCH('Whole Building ccASHP Worksheet'!B32,References!$D$118:$D$132,0))*BB52,References!$B$40))</f>
        <v>0</v>
      </c>
    </row>
    <row r="53" spans="2:80" x14ac:dyDescent="0.3">
      <c r="B53" s="11">
        <v>14</v>
      </c>
      <c r="C53" s="15" t="str">
        <f>IF('Whole Building ccASHP Worksheet'!B33="","",'Whole Building ccASHP Worksheet'!B33)</f>
        <v/>
      </c>
      <c r="D53" s="13" t="str">
        <f>IF('Whole Building ccASHP Worksheet'!C33="","",'Whole Building ccASHP Worksheet'!C33)</f>
        <v/>
      </c>
      <c r="E53" s="13" t="str">
        <f>IF('Whole Building ccASHP Worksheet'!E33="","",'Whole Building ccASHP Worksheet'!E33)</f>
        <v/>
      </c>
      <c r="F53" s="13" t="str">
        <f>IF('Whole Building ccASHP Worksheet'!X33="","",'Whole Building ccASHP Worksheet'!X33)</f>
        <v/>
      </c>
      <c r="G53" s="13" t="str">
        <f>IF('Whole Building ccASHP Worksheet'!Y33="","",'Whole Building ccASHP Worksheet'!Y33)</f>
        <v/>
      </c>
      <c r="H53" s="565" t="str">
        <f t="shared" si="34"/>
        <v xml:space="preserve"> All Other</v>
      </c>
      <c r="I53" s="511" t="str">
        <f t="shared" si="28"/>
        <v xml:space="preserve">  </v>
      </c>
      <c r="J53" s="15" t="str">
        <f>IF('Whole Building ccASHP Worksheet'!I33="","",'Whole Building ccASHP Worksheet'!I33)</f>
        <v/>
      </c>
      <c r="K53" s="14" t="str">
        <f>IF('Whole Building ccASHP Worksheet'!J33="","",'Whole Building ccASHP Worksheet'!J33)</f>
        <v/>
      </c>
      <c r="L53" s="15" t="str">
        <f>IF('Whole Building ccASHP Worksheet'!K33="","",'Whole Building ccASHP Worksheet'!K33)</f>
        <v/>
      </c>
      <c r="M53" s="13" t="str">
        <f>IF('Whole Building ccASHP Worksheet'!L33="","",'Whole Building ccASHP Worksheet'!L33)</f>
        <v/>
      </c>
      <c r="N53" s="13" t="str">
        <f>IF('Whole Building ccASHP Worksheet'!M33="","",'Whole Building ccASHP Worksheet'!M33)</f>
        <v/>
      </c>
      <c r="O53" s="13" t="str">
        <f>IF('Whole Building ccASHP Worksheet'!N33="","",'Whole Building ccASHP Worksheet'!N33)</f>
        <v/>
      </c>
      <c r="P53" s="15" t="str">
        <f t="shared" si="29"/>
        <v/>
      </c>
      <c r="Q53" s="13" t="str">
        <f t="shared" si="30"/>
        <v/>
      </c>
      <c r="R53" s="13" t="str">
        <f t="shared" si="31"/>
        <v/>
      </c>
      <c r="S53" s="13" t="str">
        <f t="shared" si="32"/>
        <v/>
      </c>
      <c r="T53" s="15" t="str">
        <f t="shared" si="35"/>
        <v/>
      </c>
      <c r="U53" s="13" t="str">
        <f t="shared" si="36"/>
        <v/>
      </c>
      <c r="V53" s="13" t="str">
        <f t="shared" si="37"/>
        <v/>
      </c>
      <c r="W53" s="13" t="str">
        <f t="shared" si="38"/>
        <v/>
      </c>
      <c r="X53" s="15" t="str">
        <f>'Whole Building ccASHP Worksheet'!BuildingType</f>
        <v>Select …</v>
      </c>
      <c r="Y53" s="530" t="e">
        <f>IF(OR(X53="",X53="… please select …"),0,INDEX(References!$H$22:$H$43,MATCH(X53,References!$G$22:$G$43,0)))</f>
        <v>#N/A</v>
      </c>
      <c r="Z53" s="61" t="e">
        <f>IF(OR(X53="",X53="… please select …"),0,INDEX(References!$I$22:$I$43,MATCH(X53,References!$G$22:$G$43,0)))</f>
        <v>#N/A</v>
      </c>
      <c r="AA53" s="15" t="str">
        <f>IF(OR('Whole Building ccASHP Worksheet'!P33="",'Whole Building ccASHP Worksheet'!P33=0),"",'Whole Building ccASHP Worksheet'!P33)</f>
        <v/>
      </c>
      <c r="AB53" s="13" t="str">
        <f>IF(OR('Whole Building ccASHP Worksheet'!Q33="",'Whole Building ccASHP Worksheet'!Q33=0),"",'Whole Building ccASHP Worksheet'!Q33)</f>
        <v/>
      </c>
      <c r="AC53" s="530" t="str">
        <f t="shared" si="39"/>
        <v/>
      </c>
      <c r="AD53" s="530" t="str">
        <f t="shared" si="40"/>
        <v/>
      </c>
      <c r="AE53" s="61" t="str">
        <f t="shared" si="41"/>
        <v/>
      </c>
      <c r="AF53" s="511" t="str">
        <f t="shared" si="42"/>
        <v>FAIL</v>
      </c>
      <c r="AG53" s="10">
        <v>14</v>
      </c>
      <c r="AH53" s="21" t="str">
        <f t="shared" si="43"/>
        <v xml:space="preserve">  </v>
      </c>
      <c r="AI53" s="21" t="str">
        <f>IF(OR('Whole Building ccASHP Worksheet'!X33="",'Whole Building ccASHP Worksheet'!X33="None"),IF($I53="  ","","Baseline "&amp;INDEX(References!$W$4:$W$44,MATCH($I53,References!$T$4:$T$44,0))),"Existing "&amp;'Whole Building ccASHP Worksheet'!X33)</f>
        <v/>
      </c>
      <c r="AJ53" s="21" t="str">
        <f>IF(OR('Whole Building ccASHP Worksheet'!Y33="",'Whole Building ccASHP Worksheet'!Y33="None"),IF($I53="  ","","Baseline "&amp;INDEX(References!$W$4:$W$44,MATCH($I53,References!$T$4:$T$44,0))),"Existing "&amp;'Whole Building ccASHP Worksheet'!Y33)</f>
        <v/>
      </c>
      <c r="AK53" s="342" t="str">
        <f>_xlfn.IFNA(IF(OR('Whole Building ccASHP Worksheet'!AB33=0,'Whole Building ccASHP Worksheet'!AB33=""),IF(LEFT(I53,3)="pac",0,INDEX(References!$BL$5:$BL$45,MATCH(I53,References!$AY$5:$AY$45,0))),'Whole Building ccASHP Worksheet'!AB33),"")</f>
        <v/>
      </c>
      <c r="AL53" s="343" t="str">
        <f>IF(I53="  ","",IF('Whole Building ccASHP Worksheet'!AC33="",IF(LEFT(I53,3)="Pac",(INDEX(References!$BM$4:$BM$44,MATCH(I53,References!$AY$4:$AY$44,0)))-(0.3*J53*12000/1000),INDEX(References!$BM$4:$BM$44,MATCH(I53,References!$AY$4:$AY$44,0))),'Whole Building ccASHP Worksheet'!AC33))</f>
        <v/>
      </c>
      <c r="AM53" s="343" t="str">
        <f>IF(I53="  ","",IF(OR($AJ53="Existing Gas",$AJ53="Existing Oil",$AJ53="Existing Propane"),0,IF(AND('Whole Building ccASHP Worksheet'!AD33=0,'Whole Building ccASHP Worksheet'!AE33=0),IF(LEFT(I53,3)="pac",0,INDEX(References!$BN$5:$BN$44,MATCH(I53,References!$AY$5:$AY$44,0))),IF(AND('Whole Building ccASHP Worksheet'!AD33=0,'Whole Building ccASHP Worksheet'!AE33&gt;0),'Whole Building ccASHP Worksheet'!AE33*References!$B$49,'Whole Building ccASHP Worksheet'!AD33))))</f>
        <v/>
      </c>
      <c r="AN53" s="343" t="str">
        <f>IF($I53="  ","",IF(OR($AJ53="Existing Gas",$AJ53="Existing Oil",$AJ53="Existing Propane"),0,IF(OR('Whole Building ccASHP Worksheet'!AE33="",'Whole Building ccASHP Worksheet'!AE33=0),IF(LEFT(I53,3)="Pac",(INDEX(References!$BN$5:$BN$44,MATCH(I53,References!$AY$5:$AY$44,0)))-INDEX(References!$BO$5:$BO$44,MATCH(I53,References!$AY$5:$AY$44,0))*J53*12000/1000,INDEX(References!$BO$5:$BO$44,MATCH(I53,References!$AY$5:$AY$44,0))),'Whole Building ccASHP Worksheet'!AE33)))</f>
        <v/>
      </c>
      <c r="AO53" s="521" t="str">
        <f>IF($I53="  ","",IF(OR($AJ53="Existing Gas",$AJ53="Existing Oil",$AJ53="Existing Propane"),IF(OR('Whole Building ccASHP Worksheet'!AF33="",'Whole Building ccASHP Worksheet'!AF33=0),INDEX(References!$E$136:$E$139,MATCH(AJ53,References!$D$136:$D$139,0)),'Whole Building ccASHP Worksheet'!AF33),0))</f>
        <v/>
      </c>
      <c r="AP53" s="349">
        <f>IF(OR('Whole Building ccASHP Worksheet'!$B$15="Integrated/Modulating Control",'Whole Building ccASHP Worksheet'!$B$15="No Fossil Fuel Heating"),IF(K53&gt;=AB53,1,0.9),0.9)</f>
        <v>0.9</v>
      </c>
      <c r="AQ53" s="521" t="str">
        <f>IF(C53="","",INDEX(References!$M$56:$M$66,MATCH(C53&amp;" "&amp;'Whole Building ccASHP Worksheet'!$B$15&amp;" "&amp;AP53,References!$L$56:$L$66,0)))</f>
        <v/>
      </c>
      <c r="AR53" s="521" t="str">
        <f>IF(C53="","",INDEX(References!$N$56:$N$66,MATCH(C53&amp;" "&amp;'Whole Building ccASHP Worksheet'!$B$15&amp;" "&amp;AP53,References!$L$56:$L$66,0)))</f>
        <v/>
      </c>
      <c r="AS53" s="521" t="str">
        <f>IF(C53="","",INDEX(References!$O$56:$O$66,MATCH(C53&amp;" "&amp;'Whole Building ccASHP Worksheet'!$B$15&amp;" "&amp;AP53,References!$L$56:$L$66,0)))</f>
        <v/>
      </c>
      <c r="AT53" s="521" t="str">
        <f>IF(C53="","",INDEX(References!$P$56:$P$66,MATCH(C53&amp;" "&amp;'Whole Building ccASHP Worksheet'!$B$15&amp;" "&amp;AP53,References!$L$56:$L$66,0)))</f>
        <v/>
      </c>
      <c r="AU53" s="521" t="str">
        <f>IF(C53="","",INDEX(References!$Q$56:$Q$66,MATCH(C53&amp;" "&amp;'Whole Building ccASHP Worksheet'!$B$15&amp;" "&amp;AP53,References!$L$56:$L$66,0)))</f>
        <v/>
      </c>
      <c r="AV53" s="521" t="str">
        <f>IF(C53="","",INDEX(References!$R$56:$R$66,MATCH(C53&amp;" "&amp;'Whole Building ccASHP Worksheet'!$B$15&amp;" "&amp;AP53,References!$L$56:$L$66,0)))</f>
        <v/>
      </c>
      <c r="AW53" s="521" t="str">
        <f>IF(C53="","",INDEX(References!$S$56:$S$66,MATCH(C53&amp;" "&amp;'Whole Building ccASHP Worksheet'!$B$15&amp;" "&amp;AP53,References!$L$56:$L$66,0)))</f>
        <v/>
      </c>
      <c r="AX53" s="521" t="str">
        <f>IF(AM53="","",IF(AM53&lt;8.5,References!$M$69,References!$M$70))</f>
        <v/>
      </c>
      <c r="AY53" s="521" t="str">
        <f t="shared" si="44"/>
        <v/>
      </c>
      <c r="AZ53" s="521" t="str">
        <f t="shared" si="45"/>
        <v/>
      </c>
      <c r="BA53" s="521" t="str">
        <f t="shared" si="46"/>
        <v/>
      </c>
      <c r="BB53" s="212" t="str">
        <f>IF(AF53="FAIL","",IF(AND(AL53&gt;0,M53&gt;0),ROUND((AA53/1000)*((1/AL53)-(1/M53)),References!$B$40),0))</f>
        <v/>
      </c>
      <c r="BC53" s="308" t="str">
        <f>IF(AF53="FAIL","",IF(AND(AM53&gt;0,N53&gt;0),ROUND((AB53/1000)*((1/(AM53/3.412))-(1/(N53/3.412))),References!$B$40),ROUND((AB53/1000)*-(1/(N53/3.412)),References!$B$40)))</f>
        <v/>
      </c>
      <c r="BD53" s="308" t="str">
        <f>IF(AF53="FAIL","",IF(AND(AK53=0,AL53=0),0,IF(AK53&gt;0,ROUND((AA53/1000)*((1/AK53)-(1/AY53))*Y53*AV53,References!$B$43),ROUND((AA53/1000)*((1/AL53)-(1/AY53))*Y53*AV53,References!$B$43))))</f>
        <v/>
      </c>
      <c r="BE53" s="308" t="str">
        <f>IF(BD53="","",BD53*References!$B$29)</f>
        <v/>
      </c>
      <c r="BF53" s="308" t="str">
        <f t="shared" si="47"/>
        <v/>
      </c>
      <c r="BG53" s="308" t="str">
        <f>IF(AF53="FAIL","",IF(AND(AZ53&gt;0,BA53&gt;0),ROUND((AB53/1000)*((1/BA53)-(1/AZ53))*Z53*AW53/3.413,References!$B$43),0))</f>
        <v/>
      </c>
      <c r="BH53" s="308" t="str">
        <f>IF(AF53="FAIL","",IF(AND(OR($AJ53="Existing Gas",$AJ53="Existing Oil",$AJ53="Existing Propane"),RIGHT(C53,10)="Heat Pumps"),IF(AND(AZ53&gt;0,AZ53&lt;&gt;""),ROUND(((AB53/1000)*((1/AZ53))*Z53*AW53/3.412),References!$B$43),0),0))</f>
        <v/>
      </c>
      <c r="BI53" s="308" t="str">
        <f>IF(AF53="FAIL","",(BG53*References!$B$29)-(BH53*References!$B$29))</f>
        <v/>
      </c>
      <c r="BJ53" s="308" t="str">
        <f t="shared" si="48"/>
        <v/>
      </c>
      <c r="BK53" s="308" t="str">
        <f t="shared" si="49"/>
        <v/>
      </c>
      <c r="BL53" s="343" t="str">
        <f t="shared" si="50"/>
        <v/>
      </c>
      <c r="BM53" s="343" t="str">
        <f t="shared" si="51"/>
        <v/>
      </c>
      <c r="BN53" s="343" t="str">
        <f t="shared" si="52"/>
        <v/>
      </c>
      <c r="BO53" s="649" t="str">
        <f t="shared" si="53"/>
        <v/>
      </c>
      <c r="BP53" s="649" t="str">
        <f t="shared" si="54"/>
        <v/>
      </c>
      <c r="BQ53" s="650" t="str">
        <f t="shared" si="55"/>
        <v/>
      </c>
      <c r="BR53" s="343" t="str">
        <f t="shared" si="56"/>
        <v/>
      </c>
      <c r="BS53" s="558">
        <f t="shared" si="57"/>
        <v>0</v>
      </c>
      <c r="BT53" s="566" t="e">
        <f t="shared" si="58"/>
        <v>#VALUE!</v>
      </c>
      <c r="BU53" s="526">
        <f t="shared" si="59"/>
        <v>0</v>
      </c>
      <c r="BX53" s="565" t="str">
        <f t="shared" si="33"/>
        <v xml:space="preserve">   All Other</v>
      </c>
      <c r="BY53" s="89" t="str">
        <f>IF(AF53="Fail","",INDEX(References!$AH$4:$AH$86,MATCH(Calculations!BX53,References!$AG$4:$AG$86,0)))</f>
        <v/>
      </c>
      <c r="BZ53" s="89" t="str">
        <f>IF(AF53="FAIL","",BL53*References!$B$21+IF(BM53&gt;0,BM53*References!$B$25,0))</f>
        <v/>
      </c>
      <c r="CA53" s="89" t="str">
        <f>IF(AF53="FAIL","",IF(BM53&gt;0,0,BM53)*References!$B$25+BF53*INDEX(References!$F$136:$F$142,MATCH(IF(LEFT(AJ53,8)="Baseline",LEFT(AJ53,8),AJ53),References!$D$136:$D$142,0)))</f>
        <v/>
      </c>
      <c r="CB53" s="89">
        <f>IF(BY53="",0,ROUND(INDEX(References!$E$118:$E$132,MATCH('Whole Building ccASHP Worksheet'!B33,References!$D$118:$D$132,0))*BB53,References!$B$40))</f>
        <v>0</v>
      </c>
    </row>
    <row r="54" spans="2:80" x14ac:dyDescent="0.3">
      <c r="B54" s="11">
        <v>15</v>
      </c>
      <c r="C54" s="15" t="str">
        <f>IF('Whole Building ccASHP Worksheet'!B34="","",'Whole Building ccASHP Worksheet'!B34)</f>
        <v/>
      </c>
      <c r="D54" s="13" t="str">
        <f>IF('Whole Building ccASHP Worksheet'!C34="","",'Whole Building ccASHP Worksheet'!C34)</f>
        <v/>
      </c>
      <c r="E54" s="13" t="str">
        <f>IF('Whole Building ccASHP Worksheet'!E34="","",'Whole Building ccASHP Worksheet'!E34)</f>
        <v/>
      </c>
      <c r="F54" s="13" t="str">
        <f>IF('Whole Building ccASHP Worksheet'!X34="","",'Whole Building ccASHP Worksheet'!X34)</f>
        <v/>
      </c>
      <c r="G54" s="13" t="str">
        <f>IF('Whole Building ccASHP Worksheet'!Y34="","",'Whole Building ccASHP Worksheet'!Y34)</f>
        <v/>
      </c>
      <c r="H54" s="565" t="str">
        <f t="shared" si="34"/>
        <v xml:space="preserve"> All Other</v>
      </c>
      <c r="I54" s="511" t="str">
        <f t="shared" si="28"/>
        <v xml:space="preserve">  </v>
      </c>
      <c r="J54" s="15" t="str">
        <f>IF('Whole Building ccASHP Worksheet'!I34="","",'Whole Building ccASHP Worksheet'!I34)</f>
        <v/>
      </c>
      <c r="K54" s="14" t="str">
        <f>IF('Whole Building ccASHP Worksheet'!J34="","",'Whole Building ccASHP Worksheet'!J34)</f>
        <v/>
      </c>
      <c r="L54" s="15" t="str">
        <f>IF('Whole Building ccASHP Worksheet'!K34="","",'Whole Building ccASHP Worksheet'!K34)</f>
        <v/>
      </c>
      <c r="M54" s="13" t="str">
        <f>IF('Whole Building ccASHP Worksheet'!L34="","",'Whole Building ccASHP Worksheet'!L34)</f>
        <v/>
      </c>
      <c r="N54" s="13" t="str">
        <f>IF('Whole Building ccASHP Worksheet'!M34="","",'Whole Building ccASHP Worksheet'!M34)</f>
        <v/>
      </c>
      <c r="O54" s="13" t="str">
        <f>IF('Whole Building ccASHP Worksheet'!N34="","",'Whole Building ccASHP Worksheet'!N34)</f>
        <v/>
      </c>
      <c r="P54" s="15" t="str">
        <f t="shared" si="29"/>
        <v/>
      </c>
      <c r="Q54" s="13" t="str">
        <f t="shared" si="30"/>
        <v/>
      </c>
      <c r="R54" s="13" t="str">
        <f t="shared" si="31"/>
        <v/>
      </c>
      <c r="S54" s="13" t="str">
        <f t="shared" si="32"/>
        <v/>
      </c>
      <c r="T54" s="15" t="str">
        <f t="shared" si="35"/>
        <v/>
      </c>
      <c r="U54" s="13" t="str">
        <f t="shared" si="36"/>
        <v/>
      </c>
      <c r="V54" s="13" t="str">
        <f t="shared" si="37"/>
        <v/>
      </c>
      <c r="W54" s="13" t="str">
        <f t="shared" si="38"/>
        <v/>
      </c>
      <c r="X54" s="15" t="str">
        <f>'Whole Building ccASHP Worksheet'!BuildingType</f>
        <v>Select …</v>
      </c>
      <c r="Y54" s="530" t="e">
        <f>IF(OR(X54="",X54="… please select …"),0,INDEX(References!$H$22:$H$43,MATCH(X54,References!$G$22:$G$43,0)))</f>
        <v>#N/A</v>
      </c>
      <c r="Z54" s="61" t="e">
        <f>IF(OR(X54="",X54="… please select …"),0,INDEX(References!$I$22:$I$43,MATCH(X54,References!$G$22:$G$43,0)))</f>
        <v>#N/A</v>
      </c>
      <c r="AA54" s="15" t="str">
        <f>IF(OR('Whole Building ccASHP Worksheet'!P34="",'Whole Building ccASHP Worksheet'!P34=0),"",'Whole Building ccASHP Worksheet'!P34)</f>
        <v/>
      </c>
      <c r="AB54" s="13" t="str">
        <f>IF(OR('Whole Building ccASHP Worksheet'!Q34="",'Whole Building ccASHP Worksheet'!Q34=0),"",'Whole Building ccASHP Worksheet'!Q34)</f>
        <v/>
      </c>
      <c r="AC54" s="530" t="str">
        <f t="shared" si="39"/>
        <v/>
      </c>
      <c r="AD54" s="530" t="str">
        <f t="shared" si="40"/>
        <v/>
      </c>
      <c r="AE54" s="61" t="str">
        <f t="shared" si="41"/>
        <v/>
      </c>
      <c r="AF54" s="511" t="str">
        <f t="shared" si="42"/>
        <v>FAIL</v>
      </c>
      <c r="AG54" s="10">
        <v>15</v>
      </c>
      <c r="AH54" s="21" t="str">
        <f t="shared" si="43"/>
        <v xml:space="preserve">  </v>
      </c>
      <c r="AI54" s="21" t="str">
        <f>IF(OR('Whole Building ccASHP Worksheet'!X34="",'Whole Building ccASHP Worksheet'!X34="None"),IF($I54="  ","","Baseline "&amp;INDEX(References!$W$4:$W$44,MATCH($I54,References!$T$4:$T$44,0))),"Existing "&amp;'Whole Building ccASHP Worksheet'!X34)</f>
        <v/>
      </c>
      <c r="AJ54" s="21" t="str">
        <f>IF(OR('Whole Building ccASHP Worksheet'!Y34="",'Whole Building ccASHP Worksheet'!Y34="None"),IF($I54="  ","","Baseline "&amp;INDEX(References!$W$4:$W$44,MATCH($I54,References!$T$4:$T$44,0))),"Existing "&amp;'Whole Building ccASHP Worksheet'!Y34)</f>
        <v/>
      </c>
      <c r="AK54" s="342" t="str">
        <f>_xlfn.IFNA(IF(OR('Whole Building ccASHP Worksheet'!AB34=0,'Whole Building ccASHP Worksheet'!AB34=""),IF(LEFT(I54,3)="pac",0,INDEX(References!$BL$5:$BL$45,MATCH(I54,References!$AY$5:$AY$45,0))),'Whole Building ccASHP Worksheet'!AB34),"")</f>
        <v/>
      </c>
      <c r="AL54" s="343" t="str">
        <f>IF(I54="  ","",IF('Whole Building ccASHP Worksheet'!AC34="",IF(LEFT(I54,3)="Pac",(INDEX(References!$BM$4:$BM$44,MATCH(I54,References!$AY$4:$AY$44,0)))-(0.3*J54*12000/1000),INDEX(References!$BM$4:$BM$44,MATCH(I54,References!$AY$4:$AY$44,0))),'Whole Building ccASHP Worksheet'!AC34))</f>
        <v/>
      </c>
      <c r="AM54" s="343" t="str">
        <f>IF(I54="  ","",IF(OR($AJ54="Existing Gas",$AJ54="Existing Oil",$AJ54="Existing Propane"),0,IF(AND('Whole Building ccASHP Worksheet'!AD34=0,'Whole Building ccASHP Worksheet'!AE34=0),IF(LEFT(I54,3)="pac",0,INDEX(References!$BN$5:$BN$44,MATCH(I54,References!$AY$5:$AY$44,0))),IF(AND('Whole Building ccASHP Worksheet'!AD34=0,'Whole Building ccASHP Worksheet'!AE34&gt;0),'Whole Building ccASHP Worksheet'!AE34*References!$B$49,'Whole Building ccASHP Worksheet'!AD34))))</f>
        <v/>
      </c>
      <c r="AN54" s="343" t="str">
        <f>IF($I54="  ","",IF(OR($AJ54="Existing Gas",$AJ54="Existing Oil",$AJ54="Existing Propane"),0,IF(OR('Whole Building ccASHP Worksheet'!AE34="",'Whole Building ccASHP Worksheet'!AE34=0),IF(LEFT(I54,3)="Pac",(INDEX(References!$BN$5:$BN$44,MATCH(I54,References!$AY$5:$AY$44,0)))-INDEX(References!$BO$5:$BO$44,MATCH(I54,References!$AY$5:$AY$44,0))*J54*12000/1000,INDEX(References!$BO$5:$BO$44,MATCH(I54,References!$AY$5:$AY$44,0))),'Whole Building ccASHP Worksheet'!AE34)))</f>
        <v/>
      </c>
      <c r="AO54" s="521" t="str">
        <f>IF($I54="  ","",IF(OR($AJ54="Existing Gas",$AJ54="Existing Oil",$AJ54="Existing Propane"),IF(OR('Whole Building ccASHP Worksheet'!AF34="",'Whole Building ccASHP Worksheet'!AF34=0),INDEX(References!$E$136:$E$139,MATCH(AJ54,References!$D$136:$D$139,0)),'Whole Building ccASHP Worksheet'!AF34),0))</f>
        <v/>
      </c>
      <c r="AP54" s="349">
        <f>IF(OR('Whole Building ccASHP Worksheet'!$B$15="Integrated/Modulating Control",'Whole Building ccASHP Worksheet'!$B$15="No Fossil Fuel Heating"),IF(K54&gt;=AB54,1,0.9),0.9)</f>
        <v>0.9</v>
      </c>
      <c r="AQ54" s="521" t="str">
        <f>IF(C54="","",INDEX(References!$M$56:$M$66,MATCH(C54&amp;" "&amp;'Whole Building ccASHP Worksheet'!$B$15&amp;" "&amp;AP54,References!$L$56:$L$66,0)))</f>
        <v/>
      </c>
      <c r="AR54" s="521" t="str">
        <f>IF(C54="","",INDEX(References!$N$56:$N$66,MATCH(C54&amp;" "&amp;'Whole Building ccASHP Worksheet'!$B$15&amp;" "&amp;AP54,References!$L$56:$L$66,0)))</f>
        <v/>
      </c>
      <c r="AS54" s="521" t="str">
        <f>IF(C54="","",INDEX(References!$O$56:$O$66,MATCH(C54&amp;" "&amp;'Whole Building ccASHP Worksheet'!$B$15&amp;" "&amp;AP54,References!$L$56:$L$66,0)))</f>
        <v/>
      </c>
      <c r="AT54" s="521" t="str">
        <f>IF(C54="","",INDEX(References!$P$56:$P$66,MATCH(C54&amp;" "&amp;'Whole Building ccASHP Worksheet'!$B$15&amp;" "&amp;AP54,References!$L$56:$L$66,0)))</f>
        <v/>
      </c>
      <c r="AU54" s="521" t="str">
        <f>IF(C54="","",INDEX(References!$Q$56:$Q$66,MATCH(C54&amp;" "&amp;'Whole Building ccASHP Worksheet'!$B$15&amp;" "&amp;AP54,References!$L$56:$L$66,0)))</f>
        <v/>
      </c>
      <c r="AV54" s="521" t="str">
        <f>IF(C54="","",INDEX(References!$R$56:$R$66,MATCH(C54&amp;" "&amp;'Whole Building ccASHP Worksheet'!$B$15&amp;" "&amp;AP54,References!$L$56:$L$66,0)))</f>
        <v/>
      </c>
      <c r="AW54" s="521" t="str">
        <f>IF(C54="","",INDEX(References!$S$56:$S$66,MATCH(C54&amp;" "&amp;'Whole Building ccASHP Worksheet'!$B$15&amp;" "&amp;AP54,References!$L$56:$L$66,0)))</f>
        <v/>
      </c>
      <c r="AX54" s="521" t="str">
        <f>IF(AM54="","",IF(AM54&lt;8.5,References!$M$69,References!$M$70))</f>
        <v/>
      </c>
      <c r="AY54" s="521" t="str">
        <f t="shared" si="44"/>
        <v/>
      </c>
      <c r="AZ54" s="521" t="str">
        <f t="shared" si="45"/>
        <v/>
      </c>
      <c r="BA54" s="521" t="str">
        <f t="shared" si="46"/>
        <v/>
      </c>
      <c r="BB54" s="212" t="str">
        <f>IF(AF54="FAIL","",IF(AND(AL54&gt;0,M54&gt;0),ROUND((AA54/1000)*((1/AL54)-(1/M54)),References!$B$40),0))</f>
        <v/>
      </c>
      <c r="BC54" s="308" t="str">
        <f>IF(AF54="FAIL","",IF(AND(AM54&gt;0,N54&gt;0),ROUND((AB54/1000)*((1/(AM54/3.412))-(1/(N54/3.412))),References!$B$40),ROUND((AB54/1000)*-(1/(N54/3.412)),References!$B$40)))</f>
        <v/>
      </c>
      <c r="BD54" s="308" t="str">
        <f>IF(AF54="FAIL","",IF(AND(AK54=0,AL54=0),0,IF(AK54&gt;0,ROUND((AA54/1000)*((1/AK54)-(1/AY54))*Y54*AV54,References!$B$43),ROUND((AA54/1000)*((1/AL54)-(1/AY54))*Y54*AV54,References!$B$43))))</f>
        <v/>
      </c>
      <c r="BE54" s="308" t="str">
        <f>IF(BD54="","",BD54*References!$B$29)</f>
        <v/>
      </c>
      <c r="BF54" s="308" t="str">
        <f t="shared" si="47"/>
        <v/>
      </c>
      <c r="BG54" s="308" t="str">
        <f>IF(AF54="FAIL","",IF(AND(AZ54&gt;0,BA54&gt;0),ROUND((AB54/1000)*((1/BA54)-(1/AZ54))*Z54*AW54/3.413,References!$B$43),0))</f>
        <v/>
      </c>
      <c r="BH54" s="308" t="str">
        <f>IF(AF54="FAIL","",IF(AND(OR($AJ54="Existing Gas",$AJ54="Existing Oil",$AJ54="Existing Propane"),RIGHT(C54,10)="Heat Pumps"),IF(AND(AZ54&gt;0,AZ54&lt;&gt;""),ROUND(((AB54/1000)*((1/AZ54))*Z54*AW54/3.412),References!$B$43),0),0))</f>
        <v/>
      </c>
      <c r="BI54" s="308" t="str">
        <f>IF(AF54="FAIL","",(BG54*References!$B$29)-(BH54*References!$B$29))</f>
        <v/>
      </c>
      <c r="BJ54" s="308" t="str">
        <f t="shared" si="48"/>
        <v/>
      </c>
      <c r="BK54" s="308" t="str">
        <f t="shared" si="49"/>
        <v/>
      </c>
      <c r="BL54" s="343" t="str">
        <f t="shared" si="50"/>
        <v/>
      </c>
      <c r="BM54" s="343" t="str">
        <f t="shared" si="51"/>
        <v/>
      </c>
      <c r="BN54" s="343" t="str">
        <f t="shared" si="52"/>
        <v/>
      </c>
      <c r="BO54" s="649" t="str">
        <f t="shared" si="53"/>
        <v/>
      </c>
      <c r="BP54" s="649" t="str">
        <f t="shared" si="54"/>
        <v/>
      </c>
      <c r="BQ54" s="650" t="str">
        <f t="shared" si="55"/>
        <v/>
      </c>
      <c r="BR54" s="343" t="str">
        <f t="shared" si="56"/>
        <v/>
      </c>
      <c r="BS54" s="558">
        <f t="shared" si="57"/>
        <v>0</v>
      </c>
      <c r="BT54" s="566" t="e">
        <f t="shared" si="58"/>
        <v>#VALUE!</v>
      </c>
      <c r="BU54" s="526">
        <f t="shared" si="59"/>
        <v>0</v>
      </c>
      <c r="BX54" s="565" t="str">
        <f t="shared" si="33"/>
        <v xml:space="preserve">   All Other</v>
      </c>
      <c r="BY54" s="89" t="str">
        <f>IF(AF54="Fail","",INDEX(References!$AH$4:$AH$86,MATCH(Calculations!BX54,References!$AG$4:$AG$86,0)))</f>
        <v/>
      </c>
      <c r="BZ54" s="89" t="str">
        <f>IF(AF54="FAIL","",BL54*References!$B$21+IF(BM54&gt;0,BM54*References!$B$25,0))</f>
        <v/>
      </c>
      <c r="CA54" s="89" t="str">
        <f>IF(AF54="FAIL","",IF(BM54&gt;0,0,BM54)*References!$B$25+BF54*INDEX(References!$F$136:$F$142,MATCH(IF(LEFT(AJ54,8)="Baseline",LEFT(AJ54,8),AJ54),References!$D$136:$D$142,0)))</f>
        <v/>
      </c>
      <c r="CB54" s="89">
        <f>IF(BY54="",0,ROUND(INDEX(References!$E$118:$E$132,MATCH('Whole Building ccASHP Worksheet'!B34,References!$D$118:$D$132,0))*BB54,References!$B$40))</f>
        <v>0</v>
      </c>
    </row>
    <row r="55" spans="2:80" x14ac:dyDescent="0.3">
      <c r="B55" s="11">
        <v>16</v>
      </c>
      <c r="C55" s="15" t="str">
        <f>IF('Whole Building ccASHP Worksheet'!B35="","",'Whole Building ccASHP Worksheet'!B35)</f>
        <v/>
      </c>
      <c r="D55" s="13" t="str">
        <f>IF('Whole Building ccASHP Worksheet'!C35="","",'Whole Building ccASHP Worksheet'!C35)</f>
        <v/>
      </c>
      <c r="E55" s="13" t="str">
        <f>IF('Whole Building ccASHP Worksheet'!E35="","",'Whole Building ccASHP Worksheet'!E35)</f>
        <v/>
      </c>
      <c r="F55" s="13" t="str">
        <f>IF('Whole Building ccASHP Worksheet'!X35="","",'Whole Building ccASHP Worksheet'!X35)</f>
        <v/>
      </c>
      <c r="G55" s="13" t="str">
        <f>IF('Whole Building ccASHP Worksheet'!Y35="","",'Whole Building ccASHP Worksheet'!Y35)</f>
        <v/>
      </c>
      <c r="H55" s="565" t="str">
        <f t="shared" si="34"/>
        <v xml:space="preserve"> All Other</v>
      </c>
      <c r="I55" s="511" t="str">
        <f t="shared" si="28"/>
        <v xml:space="preserve">  </v>
      </c>
      <c r="J55" s="15" t="str">
        <f>IF('Whole Building ccASHP Worksheet'!I35="","",'Whole Building ccASHP Worksheet'!I35)</f>
        <v/>
      </c>
      <c r="K55" s="14" t="str">
        <f>IF('Whole Building ccASHP Worksheet'!J35="","",'Whole Building ccASHP Worksheet'!J35)</f>
        <v/>
      </c>
      <c r="L55" s="15" t="str">
        <f>IF('Whole Building ccASHP Worksheet'!K35="","",'Whole Building ccASHP Worksheet'!K35)</f>
        <v/>
      </c>
      <c r="M55" s="13" t="str">
        <f>IF('Whole Building ccASHP Worksheet'!L35="","",'Whole Building ccASHP Worksheet'!L35)</f>
        <v/>
      </c>
      <c r="N55" s="13" t="str">
        <f>IF('Whole Building ccASHP Worksheet'!M35="","",'Whole Building ccASHP Worksheet'!M35)</f>
        <v/>
      </c>
      <c r="O55" s="13" t="str">
        <f>IF('Whole Building ccASHP Worksheet'!N35="","",'Whole Building ccASHP Worksheet'!N35)</f>
        <v/>
      </c>
      <c r="P55" s="15" t="str">
        <f t="shared" si="29"/>
        <v/>
      </c>
      <c r="Q55" s="13" t="str">
        <f t="shared" si="30"/>
        <v/>
      </c>
      <c r="R55" s="13" t="str">
        <f t="shared" si="31"/>
        <v/>
      </c>
      <c r="S55" s="13" t="str">
        <f t="shared" si="32"/>
        <v/>
      </c>
      <c r="T55" s="15" t="str">
        <f t="shared" si="35"/>
        <v/>
      </c>
      <c r="U55" s="13" t="str">
        <f t="shared" si="36"/>
        <v/>
      </c>
      <c r="V55" s="13" t="str">
        <f t="shared" si="37"/>
        <v/>
      </c>
      <c r="W55" s="13" t="str">
        <f t="shared" si="38"/>
        <v/>
      </c>
      <c r="X55" s="15" t="str">
        <f>'Whole Building ccASHP Worksheet'!BuildingType</f>
        <v>Select …</v>
      </c>
      <c r="Y55" s="530" t="e">
        <f>IF(OR(X55="",X55="… please select …"),0,INDEX(References!$H$22:$H$43,MATCH(X55,References!$G$22:$G$43,0)))</f>
        <v>#N/A</v>
      </c>
      <c r="Z55" s="61" t="e">
        <f>IF(OR(X55="",X55="… please select …"),0,INDEX(References!$I$22:$I$43,MATCH(X55,References!$G$22:$G$43,0)))</f>
        <v>#N/A</v>
      </c>
      <c r="AA55" s="15" t="str">
        <f>IF(OR('Whole Building ccASHP Worksheet'!P35="",'Whole Building ccASHP Worksheet'!P35=0),"",'Whole Building ccASHP Worksheet'!P35)</f>
        <v/>
      </c>
      <c r="AB55" s="13" t="str">
        <f>IF(OR('Whole Building ccASHP Worksheet'!Q35="",'Whole Building ccASHP Worksheet'!Q35=0),"",'Whole Building ccASHP Worksheet'!Q35)</f>
        <v/>
      </c>
      <c r="AC55" s="530" t="str">
        <f t="shared" si="39"/>
        <v/>
      </c>
      <c r="AD55" s="530" t="str">
        <f t="shared" si="40"/>
        <v/>
      </c>
      <c r="AE55" s="61" t="str">
        <f t="shared" si="41"/>
        <v/>
      </c>
      <c r="AF55" s="511" t="str">
        <f t="shared" si="42"/>
        <v>FAIL</v>
      </c>
      <c r="AG55" s="10">
        <v>16</v>
      </c>
      <c r="AH55" s="21" t="str">
        <f t="shared" si="43"/>
        <v xml:space="preserve">  </v>
      </c>
      <c r="AI55" s="21" t="str">
        <f>IF(OR('Whole Building ccASHP Worksheet'!X35="",'Whole Building ccASHP Worksheet'!X35="None"),IF($I55="  ","","Baseline "&amp;INDEX(References!$W$4:$W$44,MATCH($I55,References!$T$4:$T$44,0))),"Existing "&amp;'Whole Building ccASHP Worksheet'!X35)</f>
        <v/>
      </c>
      <c r="AJ55" s="21" t="str">
        <f>IF(OR('Whole Building ccASHP Worksheet'!Y35="",'Whole Building ccASHP Worksheet'!Y35="None"),IF($I55="  ","","Baseline "&amp;INDEX(References!$W$4:$W$44,MATCH($I55,References!$T$4:$T$44,0))),"Existing "&amp;'Whole Building ccASHP Worksheet'!Y35)</f>
        <v/>
      </c>
      <c r="AK55" s="342" t="str">
        <f>_xlfn.IFNA(IF(OR('Whole Building ccASHP Worksheet'!AB35=0,'Whole Building ccASHP Worksheet'!AB35=""),IF(LEFT(I55,3)="pac",0,INDEX(References!$BL$5:$BL$45,MATCH(I55,References!$AY$5:$AY$45,0))),'Whole Building ccASHP Worksheet'!AB35),"")</f>
        <v/>
      </c>
      <c r="AL55" s="343" t="str">
        <f>IF(I55="  ","",IF('Whole Building ccASHP Worksheet'!AC35="",IF(LEFT(I55,3)="Pac",(INDEX(References!$BM$4:$BM$44,MATCH(I55,References!$AY$4:$AY$44,0)))-(0.3*J55*12000/1000),INDEX(References!$BM$4:$BM$44,MATCH(I55,References!$AY$4:$AY$44,0))),'Whole Building ccASHP Worksheet'!AC35))</f>
        <v/>
      </c>
      <c r="AM55" s="343" t="str">
        <f>IF(I55="  ","",IF(OR($AJ55="Existing Gas",$AJ55="Existing Oil",$AJ55="Existing Propane"),0,IF(AND('Whole Building ccASHP Worksheet'!AD35=0,'Whole Building ccASHP Worksheet'!AE35=0),IF(LEFT(I55,3)="pac",0,INDEX(References!$BN$5:$BN$44,MATCH(I55,References!$AY$5:$AY$44,0))),IF(AND('Whole Building ccASHP Worksheet'!AD35=0,'Whole Building ccASHP Worksheet'!AE35&gt;0),'Whole Building ccASHP Worksheet'!AE35*References!$B$49,'Whole Building ccASHP Worksheet'!AD35))))</f>
        <v/>
      </c>
      <c r="AN55" s="343" t="str">
        <f>IF($I55="  ","",IF(OR($AJ55="Existing Gas",$AJ55="Existing Oil",$AJ55="Existing Propane"),0,IF(OR('Whole Building ccASHP Worksheet'!AE35="",'Whole Building ccASHP Worksheet'!AE35=0),IF(LEFT(I55,3)="Pac",(INDEX(References!$BN$5:$BN$44,MATCH(I55,References!$AY$5:$AY$44,0)))-INDEX(References!$BO$5:$BO$44,MATCH(I55,References!$AY$5:$AY$44,0))*J55*12000/1000,INDEX(References!$BO$5:$BO$44,MATCH(I55,References!$AY$5:$AY$44,0))),'Whole Building ccASHP Worksheet'!AE35)))</f>
        <v/>
      </c>
      <c r="AO55" s="521" t="str">
        <f>IF($I55="  ","",IF(OR($AJ55="Existing Gas",$AJ55="Existing Oil",$AJ55="Existing Propane"),IF(OR('Whole Building ccASHP Worksheet'!AF35="",'Whole Building ccASHP Worksheet'!AF35=0),INDEX(References!$E$136:$E$139,MATCH(AJ55,References!$D$136:$D$139,0)),'Whole Building ccASHP Worksheet'!AF35),0))</f>
        <v/>
      </c>
      <c r="AP55" s="349">
        <f>IF(OR('Whole Building ccASHP Worksheet'!$B$15="Integrated/Modulating Control",'Whole Building ccASHP Worksheet'!$B$15="No Fossil Fuel Heating"),IF(K55&gt;=AB55,1,0.9),0.9)</f>
        <v>0.9</v>
      </c>
      <c r="AQ55" s="521" t="str">
        <f>IF(C55="","",INDEX(References!$M$56:$M$66,MATCH(C55&amp;" "&amp;'Whole Building ccASHP Worksheet'!$B$15&amp;" "&amp;AP55,References!$L$56:$L$66,0)))</f>
        <v/>
      </c>
      <c r="AR55" s="521" t="str">
        <f>IF(C55="","",INDEX(References!$N$56:$N$66,MATCH(C55&amp;" "&amp;'Whole Building ccASHP Worksheet'!$B$15&amp;" "&amp;AP55,References!$L$56:$L$66,0)))</f>
        <v/>
      </c>
      <c r="AS55" s="521" t="str">
        <f>IF(C55="","",INDEX(References!$O$56:$O$66,MATCH(C55&amp;" "&amp;'Whole Building ccASHP Worksheet'!$B$15&amp;" "&amp;AP55,References!$L$56:$L$66,0)))</f>
        <v/>
      </c>
      <c r="AT55" s="521" t="str">
        <f>IF(C55="","",INDEX(References!$P$56:$P$66,MATCH(C55&amp;" "&amp;'Whole Building ccASHP Worksheet'!$B$15&amp;" "&amp;AP55,References!$L$56:$L$66,0)))</f>
        <v/>
      </c>
      <c r="AU55" s="521" t="str">
        <f>IF(C55="","",INDEX(References!$Q$56:$Q$66,MATCH(C55&amp;" "&amp;'Whole Building ccASHP Worksheet'!$B$15&amp;" "&amp;AP55,References!$L$56:$L$66,0)))</f>
        <v/>
      </c>
      <c r="AV55" s="521" t="str">
        <f>IF(C55="","",INDEX(References!$R$56:$R$66,MATCH(C55&amp;" "&amp;'Whole Building ccASHP Worksheet'!$B$15&amp;" "&amp;AP55,References!$L$56:$L$66,0)))</f>
        <v/>
      </c>
      <c r="AW55" s="521" t="str">
        <f>IF(C55="","",INDEX(References!$S$56:$S$66,MATCH(C55&amp;" "&amp;'Whole Building ccASHP Worksheet'!$B$15&amp;" "&amp;AP55,References!$L$56:$L$66,0)))</f>
        <v/>
      </c>
      <c r="AX55" s="521" t="str">
        <f>IF(AM55="","",IF(AM55&lt;8.5,References!$M$69,References!$M$70))</f>
        <v/>
      </c>
      <c r="AY55" s="521" t="str">
        <f t="shared" si="44"/>
        <v/>
      </c>
      <c r="AZ55" s="521" t="str">
        <f t="shared" si="45"/>
        <v/>
      </c>
      <c r="BA55" s="521" t="str">
        <f t="shared" si="46"/>
        <v/>
      </c>
      <c r="BB55" s="212" t="str">
        <f>IF(AF55="FAIL","",IF(AND(AL55&gt;0,M55&gt;0),ROUND((AA55/1000)*((1/AL55)-(1/M55)),References!$B$40),0))</f>
        <v/>
      </c>
      <c r="BC55" s="308" t="str">
        <f>IF(AF55="FAIL","",IF(AND(AM55&gt;0,N55&gt;0),ROUND((AB55/1000)*((1/(AM55/3.412))-(1/(N55/3.412))),References!$B$40),ROUND((AB55/1000)*-(1/(N55/3.412)),References!$B$40)))</f>
        <v/>
      </c>
      <c r="BD55" s="308" t="str">
        <f>IF(AF55="FAIL","",IF(AND(AK55=0,AL55=0),0,IF(AK55&gt;0,ROUND((AA55/1000)*((1/AK55)-(1/AY55))*Y55*AV55,References!$B$43),ROUND((AA55/1000)*((1/AL55)-(1/AY55))*Y55*AV55,References!$B$43))))</f>
        <v/>
      </c>
      <c r="BE55" s="308" t="str">
        <f>IF(BD55="","",BD55*References!$B$29)</f>
        <v/>
      </c>
      <c r="BF55" s="308" t="str">
        <f t="shared" si="47"/>
        <v/>
      </c>
      <c r="BG55" s="308" t="str">
        <f>IF(AF55="FAIL","",IF(AND(AZ55&gt;0,BA55&gt;0),ROUND((AB55/1000)*((1/BA55)-(1/AZ55))*Z55*AW55/3.413,References!$B$43),0))</f>
        <v/>
      </c>
      <c r="BH55" s="308" t="str">
        <f>IF(AF55="FAIL","",IF(AND(OR($AJ55="Existing Gas",$AJ55="Existing Oil",$AJ55="Existing Propane"),RIGHT(C55,10)="Heat Pumps"),IF(AND(AZ55&gt;0,AZ55&lt;&gt;""),ROUND(((AB55/1000)*((1/AZ55))*Z55*AW55/3.412),References!$B$43),0),0))</f>
        <v/>
      </c>
      <c r="BI55" s="308" t="str">
        <f>IF(AF55="FAIL","",(BG55*References!$B$29)-(BH55*References!$B$29))</f>
        <v/>
      </c>
      <c r="BJ55" s="308" t="str">
        <f t="shared" si="48"/>
        <v/>
      </c>
      <c r="BK55" s="308" t="str">
        <f t="shared" si="49"/>
        <v/>
      </c>
      <c r="BL55" s="343" t="str">
        <f t="shared" si="50"/>
        <v/>
      </c>
      <c r="BM55" s="343" t="str">
        <f t="shared" si="51"/>
        <v/>
      </c>
      <c r="BN55" s="343" t="str">
        <f t="shared" si="52"/>
        <v/>
      </c>
      <c r="BO55" s="649" t="str">
        <f t="shared" si="53"/>
        <v/>
      </c>
      <c r="BP55" s="649" t="str">
        <f t="shared" si="54"/>
        <v/>
      </c>
      <c r="BQ55" s="650" t="str">
        <f t="shared" si="55"/>
        <v/>
      </c>
      <c r="BR55" s="343" t="str">
        <f t="shared" si="56"/>
        <v/>
      </c>
      <c r="BS55" s="558">
        <f t="shared" si="57"/>
        <v>0</v>
      </c>
      <c r="BT55" s="566" t="e">
        <f t="shared" si="58"/>
        <v>#VALUE!</v>
      </c>
      <c r="BU55" s="526">
        <f t="shared" si="59"/>
        <v>0</v>
      </c>
      <c r="BX55" s="565" t="str">
        <f t="shared" si="33"/>
        <v xml:space="preserve">   All Other</v>
      </c>
      <c r="BY55" s="89" t="str">
        <f>IF(AF55="Fail","",INDEX(References!$AH$4:$AH$86,MATCH(Calculations!BX55,References!$AG$4:$AG$86,0)))</f>
        <v/>
      </c>
      <c r="BZ55" s="89" t="str">
        <f>IF(AF55="FAIL","",BL55*References!$B$21+IF(BM55&gt;0,BM55*References!$B$25,0))</f>
        <v/>
      </c>
      <c r="CA55" s="89" t="str">
        <f>IF(AF55="FAIL","",IF(BM55&gt;0,0,BM55)*References!$B$25+BF55*INDEX(References!$F$136:$F$142,MATCH(IF(LEFT(AJ55,8)="Baseline",LEFT(AJ55,8),AJ55),References!$D$136:$D$142,0)))</f>
        <v/>
      </c>
      <c r="CB55" s="89">
        <f>IF(BY55="",0,ROUND(INDEX(References!$E$118:$E$132,MATCH('Whole Building ccASHP Worksheet'!B35,References!$D$118:$D$132,0))*BB55,References!$B$40))</f>
        <v>0</v>
      </c>
    </row>
    <row r="56" spans="2:80" x14ac:dyDescent="0.3">
      <c r="B56" s="11">
        <v>17</v>
      </c>
      <c r="C56" s="15" t="str">
        <f>IF('Whole Building ccASHP Worksheet'!B36="","",'Whole Building ccASHP Worksheet'!B36)</f>
        <v/>
      </c>
      <c r="D56" s="13" t="str">
        <f>IF('Whole Building ccASHP Worksheet'!C36="","",'Whole Building ccASHP Worksheet'!C36)</f>
        <v/>
      </c>
      <c r="E56" s="13" t="str">
        <f>IF('Whole Building ccASHP Worksheet'!E36="","",'Whole Building ccASHP Worksheet'!E36)</f>
        <v/>
      </c>
      <c r="F56" s="13" t="str">
        <f>IF('Whole Building ccASHP Worksheet'!X36="","",'Whole Building ccASHP Worksheet'!X36)</f>
        <v/>
      </c>
      <c r="G56" s="13" t="str">
        <f>IF('Whole Building ccASHP Worksheet'!Y36="","",'Whole Building ccASHP Worksheet'!Y36)</f>
        <v/>
      </c>
      <c r="H56" s="565" t="str">
        <f t="shared" si="34"/>
        <v xml:space="preserve"> All Other</v>
      </c>
      <c r="I56" s="511" t="str">
        <f t="shared" si="28"/>
        <v xml:space="preserve">  </v>
      </c>
      <c r="J56" s="15" t="str">
        <f>IF('Whole Building ccASHP Worksheet'!I36="","",'Whole Building ccASHP Worksheet'!I36)</f>
        <v/>
      </c>
      <c r="K56" s="14" t="str">
        <f>IF('Whole Building ccASHP Worksheet'!J36="","",'Whole Building ccASHP Worksheet'!J36)</f>
        <v/>
      </c>
      <c r="L56" s="15" t="str">
        <f>IF('Whole Building ccASHP Worksheet'!K36="","",'Whole Building ccASHP Worksheet'!K36)</f>
        <v/>
      </c>
      <c r="M56" s="13" t="str">
        <f>IF('Whole Building ccASHP Worksheet'!L36="","",'Whole Building ccASHP Worksheet'!L36)</f>
        <v/>
      </c>
      <c r="N56" s="13" t="str">
        <f>IF('Whole Building ccASHP Worksheet'!M36="","",'Whole Building ccASHP Worksheet'!M36)</f>
        <v/>
      </c>
      <c r="O56" s="13" t="str">
        <f>IF('Whole Building ccASHP Worksheet'!N36="","",'Whole Building ccASHP Worksheet'!N36)</f>
        <v/>
      </c>
      <c r="P56" s="15" t="str">
        <f t="shared" si="29"/>
        <v/>
      </c>
      <c r="Q56" s="13" t="str">
        <f t="shared" si="30"/>
        <v/>
      </c>
      <c r="R56" s="13" t="str">
        <f t="shared" si="31"/>
        <v/>
      </c>
      <c r="S56" s="13" t="str">
        <f t="shared" si="32"/>
        <v/>
      </c>
      <c r="T56" s="15" t="str">
        <f t="shared" si="35"/>
        <v/>
      </c>
      <c r="U56" s="13" t="str">
        <f t="shared" si="36"/>
        <v/>
      </c>
      <c r="V56" s="13" t="str">
        <f t="shared" si="37"/>
        <v/>
      </c>
      <c r="W56" s="13" t="str">
        <f t="shared" si="38"/>
        <v/>
      </c>
      <c r="X56" s="15" t="str">
        <f>'Whole Building ccASHP Worksheet'!BuildingType</f>
        <v>Select …</v>
      </c>
      <c r="Y56" s="530" t="e">
        <f>IF(OR(X56="",X56="… please select …"),0,INDEX(References!$H$22:$H$43,MATCH(X56,References!$G$22:$G$43,0)))</f>
        <v>#N/A</v>
      </c>
      <c r="Z56" s="61" t="e">
        <f>IF(OR(X56="",X56="… please select …"),0,INDEX(References!$I$22:$I$43,MATCH(X56,References!$G$22:$G$43,0)))</f>
        <v>#N/A</v>
      </c>
      <c r="AA56" s="15" t="str">
        <f>IF(OR('Whole Building ccASHP Worksheet'!P36="",'Whole Building ccASHP Worksheet'!P36=0),"",'Whole Building ccASHP Worksheet'!P36)</f>
        <v/>
      </c>
      <c r="AB56" s="13" t="str">
        <f>IF(OR('Whole Building ccASHP Worksheet'!Q36="",'Whole Building ccASHP Worksheet'!Q36=0),"",'Whole Building ccASHP Worksheet'!Q36)</f>
        <v/>
      </c>
      <c r="AC56" s="530" t="str">
        <f t="shared" si="39"/>
        <v/>
      </c>
      <c r="AD56" s="530" t="str">
        <f t="shared" si="40"/>
        <v/>
      </c>
      <c r="AE56" s="61" t="str">
        <f t="shared" si="41"/>
        <v/>
      </c>
      <c r="AF56" s="511" t="str">
        <f t="shared" si="42"/>
        <v>FAIL</v>
      </c>
      <c r="AG56" s="10">
        <v>17</v>
      </c>
      <c r="AH56" s="21" t="str">
        <f t="shared" si="43"/>
        <v xml:space="preserve">  </v>
      </c>
      <c r="AI56" s="21" t="str">
        <f>IF(OR('Whole Building ccASHP Worksheet'!X36="",'Whole Building ccASHP Worksheet'!X36="None"),IF($I56="  ","","Baseline "&amp;INDEX(References!$W$4:$W$44,MATCH($I56,References!$T$4:$T$44,0))),"Existing "&amp;'Whole Building ccASHP Worksheet'!X36)</f>
        <v/>
      </c>
      <c r="AJ56" s="21" t="str">
        <f>IF(OR('Whole Building ccASHP Worksheet'!Y36="",'Whole Building ccASHP Worksheet'!Y36="None"),IF($I56="  ","","Baseline "&amp;INDEX(References!$W$4:$W$44,MATCH($I56,References!$T$4:$T$44,0))),"Existing "&amp;'Whole Building ccASHP Worksheet'!Y36)</f>
        <v/>
      </c>
      <c r="AK56" s="342" t="str">
        <f>_xlfn.IFNA(IF(OR('Whole Building ccASHP Worksheet'!AB36=0,'Whole Building ccASHP Worksheet'!AB36=""),IF(LEFT(I56,3)="pac",0,INDEX(References!$BL$5:$BL$45,MATCH(I56,References!$AY$5:$AY$45,0))),'Whole Building ccASHP Worksheet'!AB36),"")</f>
        <v/>
      </c>
      <c r="AL56" s="343" t="str">
        <f>IF(I56="  ","",IF('Whole Building ccASHP Worksheet'!AC36="",IF(LEFT(I56,3)="Pac",(INDEX(References!$BM$4:$BM$44,MATCH(I56,References!$AY$4:$AY$44,0)))-(0.3*J56*12000/1000),INDEX(References!$BM$4:$BM$44,MATCH(I56,References!$AY$4:$AY$44,0))),'Whole Building ccASHP Worksheet'!AC36))</f>
        <v/>
      </c>
      <c r="AM56" s="343" t="str">
        <f>IF(I56="  ","",IF(OR($AJ56="Existing Gas",$AJ56="Existing Oil",$AJ56="Existing Propane"),0,IF(AND('Whole Building ccASHP Worksheet'!AD36=0,'Whole Building ccASHP Worksheet'!AE36=0),IF(LEFT(I56,3)="pac",0,INDEX(References!$BN$5:$BN$44,MATCH(I56,References!$AY$5:$AY$44,0))),IF(AND('Whole Building ccASHP Worksheet'!AD36=0,'Whole Building ccASHP Worksheet'!AE36&gt;0),'Whole Building ccASHP Worksheet'!AE36*References!$B$49,'Whole Building ccASHP Worksheet'!AD36))))</f>
        <v/>
      </c>
      <c r="AN56" s="343" t="str">
        <f>IF($I56="  ","",IF(OR($AJ56="Existing Gas",$AJ56="Existing Oil",$AJ56="Existing Propane"),0,IF(OR('Whole Building ccASHP Worksheet'!AE36="",'Whole Building ccASHP Worksheet'!AE36=0),IF(LEFT(I56,3)="Pac",(INDEX(References!$BN$5:$BN$44,MATCH(I56,References!$AY$5:$AY$44,0)))-INDEX(References!$BO$5:$BO$44,MATCH(I56,References!$AY$5:$AY$44,0))*J56*12000/1000,INDEX(References!$BO$5:$BO$44,MATCH(I56,References!$AY$5:$AY$44,0))),'Whole Building ccASHP Worksheet'!AE36)))</f>
        <v/>
      </c>
      <c r="AO56" s="521" t="str">
        <f>IF($I56="  ","",IF(OR($AJ56="Existing Gas",$AJ56="Existing Oil",$AJ56="Existing Propane"),IF(OR('Whole Building ccASHP Worksheet'!AF36="",'Whole Building ccASHP Worksheet'!AF36=0),INDEX(References!$E$136:$E$139,MATCH(AJ56,References!$D$136:$D$139,0)),'Whole Building ccASHP Worksheet'!AF36),0))</f>
        <v/>
      </c>
      <c r="AP56" s="349">
        <f>IF(OR('Whole Building ccASHP Worksheet'!$B$15="Integrated/Modulating Control",'Whole Building ccASHP Worksheet'!$B$15="No Fossil Fuel Heating"),IF(K56&gt;=AB56,1,0.9),0.9)</f>
        <v>0.9</v>
      </c>
      <c r="AQ56" s="521" t="str">
        <f>IF(C56="","",INDEX(References!$M$56:$M$66,MATCH(C56&amp;" "&amp;'Whole Building ccASHP Worksheet'!$B$15&amp;" "&amp;AP56,References!$L$56:$L$66,0)))</f>
        <v/>
      </c>
      <c r="AR56" s="521" t="str">
        <f>IF(C56="","",INDEX(References!$N$56:$N$66,MATCH(C56&amp;" "&amp;'Whole Building ccASHP Worksheet'!$B$15&amp;" "&amp;AP56,References!$L$56:$L$66,0)))</f>
        <v/>
      </c>
      <c r="AS56" s="521" t="str">
        <f>IF(C56="","",INDEX(References!$O$56:$O$66,MATCH(C56&amp;" "&amp;'Whole Building ccASHP Worksheet'!$B$15&amp;" "&amp;AP56,References!$L$56:$L$66,0)))</f>
        <v/>
      </c>
      <c r="AT56" s="521" t="str">
        <f>IF(C56="","",INDEX(References!$P$56:$P$66,MATCH(C56&amp;" "&amp;'Whole Building ccASHP Worksheet'!$B$15&amp;" "&amp;AP56,References!$L$56:$L$66,0)))</f>
        <v/>
      </c>
      <c r="AU56" s="521" t="str">
        <f>IF(C56="","",INDEX(References!$Q$56:$Q$66,MATCH(C56&amp;" "&amp;'Whole Building ccASHP Worksheet'!$B$15&amp;" "&amp;AP56,References!$L$56:$L$66,0)))</f>
        <v/>
      </c>
      <c r="AV56" s="521" t="str">
        <f>IF(C56="","",INDEX(References!$R$56:$R$66,MATCH(C56&amp;" "&amp;'Whole Building ccASHP Worksheet'!$B$15&amp;" "&amp;AP56,References!$L$56:$L$66,0)))</f>
        <v/>
      </c>
      <c r="AW56" s="521" t="str">
        <f>IF(C56="","",INDEX(References!$S$56:$S$66,MATCH(C56&amp;" "&amp;'Whole Building ccASHP Worksheet'!$B$15&amp;" "&amp;AP56,References!$L$56:$L$66,0)))</f>
        <v/>
      </c>
      <c r="AX56" s="521" t="str">
        <f>IF(AM56="","",IF(AM56&lt;8.5,References!$M$69,References!$M$70))</f>
        <v/>
      </c>
      <c r="AY56" s="521" t="str">
        <f t="shared" si="44"/>
        <v/>
      </c>
      <c r="AZ56" s="521" t="str">
        <f t="shared" si="45"/>
        <v/>
      </c>
      <c r="BA56" s="521" t="str">
        <f t="shared" si="46"/>
        <v/>
      </c>
      <c r="BB56" s="212" t="str">
        <f>IF(AF56="FAIL","",IF(AND(AL56&gt;0,M56&gt;0),ROUND((AA56/1000)*((1/AL56)-(1/M56)),References!$B$40),0))</f>
        <v/>
      </c>
      <c r="BC56" s="308" t="str">
        <f>IF(AF56="FAIL","",IF(AND(AM56&gt;0,N56&gt;0),ROUND((AB56/1000)*((1/(AM56/3.412))-(1/(N56/3.412))),References!$B$40),ROUND((AB56/1000)*-(1/(N56/3.412)),References!$B$40)))</f>
        <v/>
      </c>
      <c r="BD56" s="308" t="str">
        <f>IF(AF56="FAIL","",IF(AND(AK56=0,AL56=0),0,IF(AK56&gt;0,ROUND((AA56/1000)*((1/AK56)-(1/AY56))*Y56*AV56,References!$B$43),ROUND((AA56/1000)*((1/AL56)-(1/AY56))*Y56*AV56,References!$B$43))))</f>
        <v/>
      </c>
      <c r="BE56" s="308" t="str">
        <f>IF(BD56="","",BD56*References!$B$29)</f>
        <v/>
      </c>
      <c r="BF56" s="308" t="str">
        <f t="shared" si="47"/>
        <v/>
      </c>
      <c r="BG56" s="308" t="str">
        <f>IF(AF56="FAIL","",IF(AND(AZ56&gt;0,BA56&gt;0),ROUND((AB56/1000)*((1/BA56)-(1/AZ56))*Z56*AW56/3.413,References!$B$43),0))</f>
        <v/>
      </c>
      <c r="BH56" s="308" t="str">
        <f>IF(AF56="FAIL","",IF(AND(OR($AJ56="Existing Gas",$AJ56="Existing Oil",$AJ56="Existing Propane"),RIGHT(C56,10)="Heat Pumps"),IF(AND(AZ56&gt;0,AZ56&lt;&gt;""),ROUND(((AB56/1000)*((1/AZ56))*Z56*AW56/3.412),References!$B$43),0),0))</f>
        <v/>
      </c>
      <c r="BI56" s="308" t="str">
        <f>IF(AF56="FAIL","",(BG56*References!$B$29)-(BH56*References!$B$29))</f>
        <v/>
      </c>
      <c r="BJ56" s="308" t="str">
        <f t="shared" si="48"/>
        <v/>
      </c>
      <c r="BK56" s="308" t="str">
        <f t="shared" si="49"/>
        <v/>
      </c>
      <c r="BL56" s="343" t="str">
        <f t="shared" si="50"/>
        <v/>
      </c>
      <c r="BM56" s="343" t="str">
        <f t="shared" si="51"/>
        <v/>
      </c>
      <c r="BN56" s="343" t="str">
        <f t="shared" si="52"/>
        <v/>
      </c>
      <c r="BO56" s="649" t="str">
        <f t="shared" si="53"/>
        <v/>
      </c>
      <c r="BP56" s="649" t="str">
        <f t="shared" si="54"/>
        <v/>
      </c>
      <c r="BQ56" s="650" t="str">
        <f t="shared" si="55"/>
        <v/>
      </c>
      <c r="BR56" s="343" t="str">
        <f t="shared" si="56"/>
        <v/>
      </c>
      <c r="BS56" s="558">
        <f t="shared" si="57"/>
        <v>0</v>
      </c>
      <c r="BT56" s="566" t="e">
        <f t="shared" si="58"/>
        <v>#VALUE!</v>
      </c>
      <c r="BU56" s="526">
        <f t="shared" si="59"/>
        <v>0</v>
      </c>
      <c r="BX56" s="565" t="str">
        <f t="shared" si="33"/>
        <v xml:space="preserve">   All Other</v>
      </c>
      <c r="BY56" s="89" t="str">
        <f>IF(AF56="Fail","",INDEX(References!$AH$4:$AH$86,MATCH(Calculations!BX56,References!$AG$4:$AG$86,0)))</f>
        <v/>
      </c>
      <c r="BZ56" s="89" t="str">
        <f>IF(AF56="FAIL","",BL56*References!$B$21+IF(BM56&gt;0,BM56*References!$B$25,0))</f>
        <v/>
      </c>
      <c r="CA56" s="89" t="str">
        <f>IF(AF56="FAIL","",IF(BM56&gt;0,0,BM56)*References!$B$25+BF56*INDEX(References!$F$136:$F$142,MATCH(IF(LEFT(AJ56,8)="Baseline",LEFT(AJ56,8),AJ56),References!$D$136:$D$142,0)))</f>
        <v/>
      </c>
      <c r="CB56" s="89">
        <f>IF(BY56="",0,ROUND(INDEX(References!$E$118:$E$132,MATCH('Whole Building ccASHP Worksheet'!B36,References!$D$118:$D$132,0))*BB56,References!$B$40))</f>
        <v>0</v>
      </c>
    </row>
    <row r="57" spans="2:80" x14ac:dyDescent="0.3">
      <c r="B57" s="11">
        <v>18</v>
      </c>
      <c r="C57" s="15" t="str">
        <f>IF('Whole Building ccASHP Worksheet'!B37="","",'Whole Building ccASHP Worksheet'!B37)</f>
        <v/>
      </c>
      <c r="D57" s="13" t="str">
        <f>IF('Whole Building ccASHP Worksheet'!C37="","",'Whole Building ccASHP Worksheet'!C37)</f>
        <v/>
      </c>
      <c r="E57" s="13" t="str">
        <f>IF('Whole Building ccASHP Worksheet'!E37="","",'Whole Building ccASHP Worksheet'!E37)</f>
        <v/>
      </c>
      <c r="F57" s="13" t="str">
        <f>IF('Whole Building ccASHP Worksheet'!X37="","",'Whole Building ccASHP Worksheet'!X37)</f>
        <v/>
      </c>
      <c r="G57" s="13" t="str">
        <f>IF('Whole Building ccASHP Worksheet'!Y37="","",'Whole Building ccASHP Worksheet'!Y37)</f>
        <v/>
      </c>
      <c r="H57" s="565" t="str">
        <f t="shared" si="34"/>
        <v xml:space="preserve"> All Other</v>
      </c>
      <c r="I57" s="511" t="str">
        <f t="shared" si="28"/>
        <v xml:space="preserve">  </v>
      </c>
      <c r="J57" s="15" t="str">
        <f>IF('Whole Building ccASHP Worksheet'!I37="","",'Whole Building ccASHP Worksheet'!I37)</f>
        <v/>
      </c>
      <c r="K57" s="14" t="str">
        <f>IF('Whole Building ccASHP Worksheet'!J37="","",'Whole Building ccASHP Worksheet'!J37)</f>
        <v/>
      </c>
      <c r="L57" s="15" t="str">
        <f>IF('Whole Building ccASHP Worksheet'!K37="","",'Whole Building ccASHP Worksheet'!K37)</f>
        <v/>
      </c>
      <c r="M57" s="13" t="str">
        <f>IF('Whole Building ccASHP Worksheet'!L37="","",'Whole Building ccASHP Worksheet'!L37)</f>
        <v/>
      </c>
      <c r="N57" s="13" t="str">
        <f>IF('Whole Building ccASHP Worksheet'!M37="","",'Whole Building ccASHP Worksheet'!M37)</f>
        <v/>
      </c>
      <c r="O57" s="13" t="str">
        <f>IF('Whole Building ccASHP Worksheet'!N37="","",'Whole Building ccASHP Worksheet'!N37)</f>
        <v/>
      </c>
      <c r="P57" s="15" t="str">
        <f t="shared" si="29"/>
        <v/>
      </c>
      <c r="Q57" s="13" t="str">
        <f t="shared" si="30"/>
        <v/>
      </c>
      <c r="R57" s="13" t="str">
        <f t="shared" si="31"/>
        <v/>
      </c>
      <c r="S57" s="13" t="str">
        <f t="shared" si="32"/>
        <v/>
      </c>
      <c r="T57" s="15" t="str">
        <f t="shared" si="35"/>
        <v/>
      </c>
      <c r="U57" s="13" t="str">
        <f t="shared" si="36"/>
        <v/>
      </c>
      <c r="V57" s="13" t="str">
        <f t="shared" si="37"/>
        <v/>
      </c>
      <c r="W57" s="13" t="str">
        <f t="shared" si="38"/>
        <v/>
      </c>
      <c r="X57" s="15" t="str">
        <f>'Whole Building ccASHP Worksheet'!BuildingType</f>
        <v>Select …</v>
      </c>
      <c r="Y57" s="530" t="e">
        <f>IF(OR(X57="",X57="… please select …"),0,INDEX(References!$H$22:$H$43,MATCH(X57,References!$G$22:$G$43,0)))</f>
        <v>#N/A</v>
      </c>
      <c r="Z57" s="61" t="e">
        <f>IF(OR(X57="",X57="… please select …"),0,INDEX(References!$I$22:$I$43,MATCH(X57,References!$G$22:$G$43,0)))</f>
        <v>#N/A</v>
      </c>
      <c r="AA57" s="15" t="str">
        <f>IF(OR('Whole Building ccASHP Worksheet'!P37="",'Whole Building ccASHP Worksheet'!P37=0),"",'Whole Building ccASHP Worksheet'!P37)</f>
        <v/>
      </c>
      <c r="AB57" s="13" t="str">
        <f>IF(OR('Whole Building ccASHP Worksheet'!Q37="",'Whole Building ccASHP Worksheet'!Q37=0),"",'Whole Building ccASHP Worksheet'!Q37)</f>
        <v/>
      </c>
      <c r="AC57" s="530" t="str">
        <f t="shared" si="39"/>
        <v/>
      </c>
      <c r="AD57" s="530" t="str">
        <f t="shared" si="40"/>
        <v/>
      </c>
      <c r="AE57" s="61" t="str">
        <f t="shared" si="41"/>
        <v/>
      </c>
      <c r="AF57" s="511" t="str">
        <f t="shared" si="42"/>
        <v>FAIL</v>
      </c>
      <c r="AG57" s="10">
        <v>18</v>
      </c>
      <c r="AH57" s="21" t="str">
        <f t="shared" si="43"/>
        <v xml:space="preserve">  </v>
      </c>
      <c r="AI57" s="21" t="str">
        <f>IF(OR('Whole Building ccASHP Worksheet'!X37="",'Whole Building ccASHP Worksheet'!X37="None"),IF($I57="  ","","Baseline "&amp;INDEX(References!$W$4:$W$44,MATCH($I57,References!$T$4:$T$44,0))),"Existing "&amp;'Whole Building ccASHP Worksheet'!X37)</f>
        <v/>
      </c>
      <c r="AJ57" s="21" t="str">
        <f>IF(OR('Whole Building ccASHP Worksheet'!Y37="",'Whole Building ccASHP Worksheet'!Y37="None"),IF($I57="  ","","Baseline "&amp;INDEX(References!$W$4:$W$44,MATCH($I57,References!$T$4:$T$44,0))),"Existing "&amp;'Whole Building ccASHP Worksheet'!Y37)</f>
        <v/>
      </c>
      <c r="AK57" s="342" t="str">
        <f>_xlfn.IFNA(IF(OR('Whole Building ccASHP Worksheet'!AB37=0,'Whole Building ccASHP Worksheet'!AB37=""),IF(LEFT(I57,3)="pac",0,INDEX(References!$BL$5:$BL$45,MATCH(I57,References!$AY$5:$AY$45,0))),'Whole Building ccASHP Worksheet'!AB37),"")</f>
        <v/>
      </c>
      <c r="AL57" s="343" t="str">
        <f>IF(I57="  ","",IF('Whole Building ccASHP Worksheet'!AC37="",IF(LEFT(I57,3)="Pac",(INDEX(References!$BM$4:$BM$44,MATCH(I57,References!$AY$4:$AY$44,0)))-(0.3*J57*12000/1000),INDEX(References!$BM$4:$BM$44,MATCH(I57,References!$AY$4:$AY$44,0))),'Whole Building ccASHP Worksheet'!AC37))</f>
        <v/>
      </c>
      <c r="AM57" s="343" t="str">
        <f>IF(I57="  ","",IF(OR($AJ57="Existing Gas",$AJ57="Existing Oil",$AJ57="Existing Propane"),0,IF(AND('Whole Building ccASHP Worksheet'!AD37=0,'Whole Building ccASHP Worksheet'!AE37=0),IF(LEFT(I57,3)="pac",0,INDEX(References!$BN$5:$BN$44,MATCH(I57,References!$AY$5:$AY$44,0))),IF(AND('Whole Building ccASHP Worksheet'!AD37=0,'Whole Building ccASHP Worksheet'!AE37&gt;0),'Whole Building ccASHP Worksheet'!AE37*References!$B$49,'Whole Building ccASHP Worksheet'!AD37))))</f>
        <v/>
      </c>
      <c r="AN57" s="343" t="str">
        <f>IF($I57="  ","",IF(OR($AJ57="Existing Gas",$AJ57="Existing Oil",$AJ57="Existing Propane"),0,IF(OR('Whole Building ccASHP Worksheet'!AE37="",'Whole Building ccASHP Worksheet'!AE37=0),IF(LEFT(I57,3)="Pac",(INDEX(References!$BN$5:$BN$44,MATCH(I57,References!$AY$5:$AY$44,0)))-INDEX(References!$BO$5:$BO$44,MATCH(I57,References!$AY$5:$AY$44,0))*J57*12000/1000,INDEX(References!$BO$5:$BO$44,MATCH(I57,References!$AY$5:$AY$44,0))),'Whole Building ccASHP Worksheet'!AE37)))</f>
        <v/>
      </c>
      <c r="AO57" s="521" t="str">
        <f>IF($I57="  ","",IF(OR($AJ57="Existing Gas",$AJ57="Existing Oil",$AJ57="Existing Propane"),IF(OR('Whole Building ccASHP Worksheet'!AF37="",'Whole Building ccASHP Worksheet'!AF37=0),INDEX(References!$E$136:$E$139,MATCH(AJ57,References!$D$136:$D$139,0)),'Whole Building ccASHP Worksheet'!AF37),0))</f>
        <v/>
      </c>
      <c r="AP57" s="349">
        <f>IF(OR('Whole Building ccASHP Worksheet'!$B$15="Integrated/Modulating Control",'Whole Building ccASHP Worksheet'!$B$15="No Fossil Fuel Heating"),IF(K57&gt;=AB57,1,0.9),0.9)</f>
        <v>0.9</v>
      </c>
      <c r="AQ57" s="521" t="str">
        <f>IF(C57="","",INDEX(References!$M$56:$M$66,MATCH(C57&amp;" "&amp;'Whole Building ccASHP Worksheet'!$B$15&amp;" "&amp;AP57,References!$L$56:$L$66,0)))</f>
        <v/>
      </c>
      <c r="AR57" s="521" t="str">
        <f>IF(C57="","",INDEX(References!$N$56:$N$66,MATCH(C57&amp;" "&amp;'Whole Building ccASHP Worksheet'!$B$15&amp;" "&amp;AP57,References!$L$56:$L$66,0)))</f>
        <v/>
      </c>
      <c r="AS57" s="521" t="str">
        <f>IF(C57="","",INDEX(References!$O$56:$O$66,MATCH(C57&amp;" "&amp;'Whole Building ccASHP Worksheet'!$B$15&amp;" "&amp;AP57,References!$L$56:$L$66,0)))</f>
        <v/>
      </c>
      <c r="AT57" s="521" t="str">
        <f>IF(C57="","",INDEX(References!$P$56:$P$66,MATCH(C57&amp;" "&amp;'Whole Building ccASHP Worksheet'!$B$15&amp;" "&amp;AP57,References!$L$56:$L$66,0)))</f>
        <v/>
      </c>
      <c r="AU57" s="521" t="str">
        <f>IF(C57="","",INDEX(References!$Q$56:$Q$66,MATCH(C57&amp;" "&amp;'Whole Building ccASHP Worksheet'!$B$15&amp;" "&amp;AP57,References!$L$56:$L$66,0)))</f>
        <v/>
      </c>
      <c r="AV57" s="521" t="str">
        <f>IF(C57="","",INDEX(References!$R$56:$R$66,MATCH(C57&amp;" "&amp;'Whole Building ccASHP Worksheet'!$B$15&amp;" "&amp;AP57,References!$L$56:$L$66,0)))</f>
        <v/>
      </c>
      <c r="AW57" s="521" t="str">
        <f>IF(C57="","",INDEX(References!$S$56:$S$66,MATCH(C57&amp;" "&amp;'Whole Building ccASHP Worksheet'!$B$15&amp;" "&amp;AP57,References!$L$56:$L$66,0)))</f>
        <v/>
      </c>
      <c r="AX57" s="521" t="str">
        <f>IF(AM57="","",IF(AM57&lt;8.5,References!$M$69,References!$M$70))</f>
        <v/>
      </c>
      <c r="AY57" s="521" t="str">
        <f t="shared" si="44"/>
        <v/>
      </c>
      <c r="AZ57" s="521" t="str">
        <f t="shared" si="45"/>
        <v/>
      </c>
      <c r="BA57" s="521" t="str">
        <f t="shared" si="46"/>
        <v/>
      </c>
      <c r="BB57" s="212" t="str">
        <f>IF(AF57="FAIL","",IF(AND(AL57&gt;0,M57&gt;0),ROUND((AA57/1000)*((1/AL57)-(1/M57)),References!$B$40),0))</f>
        <v/>
      </c>
      <c r="BC57" s="308" t="str">
        <f>IF(AF57="FAIL","",IF(AND(AM57&gt;0,N57&gt;0),ROUND((AB57/1000)*((1/(AM57/3.412))-(1/(N57/3.412))),References!$B$40),ROUND((AB57/1000)*-(1/(N57/3.412)),References!$B$40)))</f>
        <v/>
      </c>
      <c r="BD57" s="308" t="str">
        <f>IF(AF57="FAIL","",IF(AND(AK57=0,AL57=0),0,IF(AK57&gt;0,ROUND((AA57/1000)*((1/AK57)-(1/AY57))*Y57*AV57,References!$B$43),ROUND((AA57/1000)*((1/AL57)-(1/AY57))*Y57*AV57,References!$B$43))))</f>
        <v/>
      </c>
      <c r="BE57" s="308" t="str">
        <f>IF(BD57="","",BD57*References!$B$29)</f>
        <v/>
      </c>
      <c r="BF57" s="308" t="str">
        <f t="shared" si="47"/>
        <v/>
      </c>
      <c r="BG57" s="308" t="str">
        <f>IF(AF57="FAIL","",IF(AND(AZ57&gt;0,BA57&gt;0),ROUND((AB57/1000)*((1/BA57)-(1/AZ57))*Z57*AW57/3.413,References!$B$43),0))</f>
        <v/>
      </c>
      <c r="BH57" s="308" t="str">
        <f>IF(AF57="FAIL","",IF(AND(OR($AJ57="Existing Gas",$AJ57="Existing Oil",$AJ57="Existing Propane"),RIGHT(C57,10)="Heat Pumps"),IF(AND(AZ57&gt;0,AZ57&lt;&gt;""),ROUND(((AB57/1000)*((1/AZ57))*Z57*AW57/3.412),References!$B$43),0),0))</f>
        <v/>
      </c>
      <c r="BI57" s="308" t="str">
        <f>IF(AF57="FAIL","",(BG57*References!$B$29)-(BH57*References!$B$29))</f>
        <v/>
      </c>
      <c r="BJ57" s="308" t="str">
        <f t="shared" si="48"/>
        <v/>
      </c>
      <c r="BK57" s="308" t="str">
        <f t="shared" si="49"/>
        <v/>
      </c>
      <c r="BL57" s="343" t="str">
        <f t="shared" si="50"/>
        <v/>
      </c>
      <c r="BM57" s="343" t="str">
        <f t="shared" si="51"/>
        <v/>
      </c>
      <c r="BN57" s="343" t="str">
        <f t="shared" si="52"/>
        <v/>
      </c>
      <c r="BO57" s="649" t="str">
        <f t="shared" si="53"/>
        <v/>
      </c>
      <c r="BP57" s="649" t="str">
        <f t="shared" si="54"/>
        <v/>
      </c>
      <c r="BQ57" s="650" t="str">
        <f t="shared" si="55"/>
        <v/>
      </c>
      <c r="BR57" s="343" t="str">
        <f t="shared" si="56"/>
        <v/>
      </c>
      <c r="BS57" s="558">
        <f t="shared" si="57"/>
        <v>0</v>
      </c>
      <c r="BT57" s="566" t="e">
        <f t="shared" si="58"/>
        <v>#VALUE!</v>
      </c>
      <c r="BU57" s="526">
        <f t="shared" si="59"/>
        <v>0</v>
      </c>
      <c r="BX57" s="565" t="str">
        <f t="shared" si="33"/>
        <v xml:space="preserve">   All Other</v>
      </c>
      <c r="BY57" s="89" t="str">
        <f>IF(AF57="Fail","",INDEX(References!$AH$4:$AH$86,MATCH(Calculations!BX57,References!$AG$4:$AG$86,0)))</f>
        <v/>
      </c>
      <c r="BZ57" s="89" t="str">
        <f>IF(AF57="FAIL","",BL57*References!$B$21+IF(BM57&gt;0,BM57*References!$B$25,0))</f>
        <v/>
      </c>
      <c r="CA57" s="89" t="str">
        <f>IF(AF57="FAIL","",IF(BM57&gt;0,0,BM57)*References!$B$25+BF57*INDEX(References!$F$136:$F$142,MATCH(IF(LEFT(AJ57,8)="Baseline",LEFT(AJ57,8),AJ57),References!$D$136:$D$142,0)))</f>
        <v/>
      </c>
      <c r="CB57" s="89">
        <f>IF(BY57="",0,ROUND(INDEX(References!$E$118:$E$132,MATCH('Whole Building ccASHP Worksheet'!B37,References!$D$118:$D$132,0))*BB57,References!$B$40))</f>
        <v>0</v>
      </c>
    </row>
    <row r="58" spans="2:80" x14ac:dyDescent="0.3">
      <c r="B58" s="11">
        <v>19</v>
      </c>
      <c r="C58" s="15" t="str">
        <f>IF('Whole Building ccASHP Worksheet'!B38="","",'Whole Building ccASHP Worksheet'!B38)</f>
        <v/>
      </c>
      <c r="D58" s="13" t="str">
        <f>IF('Whole Building ccASHP Worksheet'!C38="","",'Whole Building ccASHP Worksheet'!C38)</f>
        <v/>
      </c>
      <c r="E58" s="13" t="str">
        <f>IF('Whole Building ccASHP Worksheet'!E38="","",'Whole Building ccASHP Worksheet'!E38)</f>
        <v/>
      </c>
      <c r="F58" s="13" t="str">
        <f>IF('Whole Building ccASHP Worksheet'!X38="","",'Whole Building ccASHP Worksheet'!X38)</f>
        <v/>
      </c>
      <c r="G58" s="13" t="str">
        <f>IF('Whole Building ccASHP Worksheet'!Y38="","",'Whole Building ccASHP Worksheet'!Y38)</f>
        <v/>
      </c>
      <c r="H58" s="565" t="str">
        <f t="shared" si="34"/>
        <v xml:space="preserve"> All Other</v>
      </c>
      <c r="I58" s="511" t="str">
        <f t="shared" si="28"/>
        <v xml:space="preserve">  </v>
      </c>
      <c r="J58" s="15" t="str">
        <f>IF('Whole Building ccASHP Worksheet'!I38="","",'Whole Building ccASHP Worksheet'!I38)</f>
        <v/>
      </c>
      <c r="K58" s="14" t="str">
        <f>IF('Whole Building ccASHP Worksheet'!J38="","",'Whole Building ccASHP Worksheet'!J38)</f>
        <v/>
      </c>
      <c r="L58" s="15" t="str">
        <f>IF('Whole Building ccASHP Worksheet'!K38="","",'Whole Building ccASHP Worksheet'!K38)</f>
        <v/>
      </c>
      <c r="M58" s="13" t="str">
        <f>IF('Whole Building ccASHP Worksheet'!L38="","",'Whole Building ccASHP Worksheet'!L38)</f>
        <v/>
      </c>
      <c r="N58" s="13" t="str">
        <f>IF('Whole Building ccASHP Worksheet'!M38="","",'Whole Building ccASHP Worksheet'!M38)</f>
        <v/>
      </c>
      <c r="O58" s="13" t="str">
        <f>IF('Whole Building ccASHP Worksheet'!N38="","",'Whole Building ccASHP Worksheet'!N38)</f>
        <v/>
      </c>
      <c r="P58" s="15" t="str">
        <f t="shared" si="29"/>
        <v/>
      </c>
      <c r="Q58" s="13" t="str">
        <f t="shared" si="30"/>
        <v/>
      </c>
      <c r="R58" s="13" t="str">
        <f t="shared" si="31"/>
        <v/>
      </c>
      <c r="S58" s="13" t="str">
        <f t="shared" si="32"/>
        <v/>
      </c>
      <c r="T58" s="15" t="str">
        <f t="shared" si="35"/>
        <v/>
      </c>
      <c r="U58" s="13" t="str">
        <f t="shared" si="36"/>
        <v/>
      </c>
      <c r="V58" s="13" t="str">
        <f t="shared" si="37"/>
        <v/>
      </c>
      <c r="W58" s="13" t="str">
        <f t="shared" si="38"/>
        <v/>
      </c>
      <c r="X58" s="15" t="str">
        <f>'Whole Building ccASHP Worksheet'!BuildingType</f>
        <v>Select …</v>
      </c>
      <c r="Y58" s="530" t="e">
        <f>IF(OR(X58="",X58="… please select …"),0,INDEX(References!$H$22:$H$43,MATCH(X58,References!$G$22:$G$43,0)))</f>
        <v>#N/A</v>
      </c>
      <c r="Z58" s="61" t="e">
        <f>IF(OR(X58="",X58="… please select …"),0,INDEX(References!$I$22:$I$43,MATCH(X58,References!$G$22:$G$43,0)))</f>
        <v>#N/A</v>
      </c>
      <c r="AA58" s="15" t="str">
        <f>IF(OR('Whole Building ccASHP Worksheet'!P38="",'Whole Building ccASHP Worksheet'!P38=0),"",'Whole Building ccASHP Worksheet'!P38)</f>
        <v/>
      </c>
      <c r="AB58" s="13" t="str">
        <f>IF(OR('Whole Building ccASHP Worksheet'!Q38="",'Whole Building ccASHP Worksheet'!Q38=0),"",'Whole Building ccASHP Worksheet'!Q38)</f>
        <v/>
      </c>
      <c r="AC58" s="530" t="str">
        <f t="shared" si="39"/>
        <v/>
      </c>
      <c r="AD58" s="530" t="str">
        <f t="shared" si="40"/>
        <v/>
      </c>
      <c r="AE58" s="61" t="str">
        <f t="shared" si="41"/>
        <v/>
      </c>
      <c r="AF58" s="511" t="str">
        <f t="shared" si="42"/>
        <v>FAIL</v>
      </c>
      <c r="AG58" s="10">
        <v>19</v>
      </c>
      <c r="AH58" s="21" t="str">
        <f t="shared" si="43"/>
        <v xml:space="preserve">  </v>
      </c>
      <c r="AI58" s="21" t="str">
        <f>IF(OR('Whole Building ccASHP Worksheet'!X38="",'Whole Building ccASHP Worksheet'!X38="None"),IF($I58="  ","","Baseline "&amp;INDEX(References!$W$4:$W$44,MATCH($I58,References!$T$4:$T$44,0))),"Existing "&amp;'Whole Building ccASHP Worksheet'!X38)</f>
        <v/>
      </c>
      <c r="AJ58" s="21" t="str">
        <f>IF(OR('Whole Building ccASHP Worksheet'!Y38="",'Whole Building ccASHP Worksheet'!Y38="None"),IF($I58="  ","","Baseline "&amp;INDEX(References!$W$4:$W$44,MATCH($I58,References!$T$4:$T$44,0))),"Existing "&amp;'Whole Building ccASHP Worksheet'!Y38)</f>
        <v/>
      </c>
      <c r="AK58" s="342" t="str">
        <f>_xlfn.IFNA(IF(OR('Whole Building ccASHP Worksheet'!AB38=0,'Whole Building ccASHP Worksheet'!AB38=""),IF(LEFT(I58,3)="pac",0,INDEX(References!$BL$5:$BL$45,MATCH(I58,References!$AY$5:$AY$45,0))),'Whole Building ccASHP Worksheet'!AB38),"")</f>
        <v/>
      </c>
      <c r="AL58" s="343" t="str">
        <f>IF(I58="  ","",IF('Whole Building ccASHP Worksheet'!AC38="",IF(LEFT(I58,3)="Pac",(INDEX(References!$BM$4:$BM$44,MATCH(I58,References!$AY$4:$AY$44,0)))-(0.3*J58*12000/1000),INDEX(References!$BM$4:$BM$44,MATCH(I58,References!$AY$4:$AY$44,0))),'Whole Building ccASHP Worksheet'!AC38))</f>
        <v/>
      </c>
      <c r="AM58" s="343" t="str">
        <f>IF(I58="  ","",IF(OR($AJ58="Existing Gas",$AJ58="Existing Oil",$AJ58="Existing Propane"),0,IF(AND('Whole Building ccASHP Worksheet'!AD38=0,'Whole Building ccASHP Worksheet'!AE38=0),IF(LEFT(I58,3)="pac",0,INDEX(References!$BN$5:$BN$44,MATCH(I58,References!$AY$5:$AY$44,0))),IF(AND('Whole Building ccASHP Worksheet'!AD38=0,'Whole Building ccASHP Worksheet'!AE38&gt;0),'Whole Building ccASHP Worksheet'!AE38*References!$B$49,'Whole Building ccASHP Worksheet'!AD38))))</f>
        <v/>
      </c>
      <c r="AN58" s="343" t="str">
        <f>IF($I58="  ","",IF(OR($AJ58="Existing Gas",$AJ58="Existing Oil",$AJ58="Existing Propane"),0,IF(OR('Whole Building ccASHP Worksheet'!AE38="",'Whole Building ccASHP Worksheet'!AE38=0),IF(LEFT(I58,3)="Pac",(INDEX(References!$BN$5:$BN$44,MATCH(I58,References!$AY$5:$AY$44,0)))-INDEX(References!$BO$5:$BO$44,MATCH(I58,References!$AY$5:$AY$44,0))*J58*12000/1000,INDEX(References!$BO$5:$BO$44,MATCH(I58,References!$AY$5:$AY$44,0))),'Whole Building ccASHP Worksheet'!AE38)))</f>
        <v/>
      </c>
      <c r="AO58" s="521" t="str">
        <f>IF($I58="  ","",IF(OR($AJ58="Existing Gas",$AJ58="Existing Oil",$AJ58="Existing Propane"),IF(OR('Whole Building ccASHP Worksheet'!AF38="",'Whole Building ccASHP Worksheet'!AF38=0),INDEX(References!$E$136:$E$139,MATCH(AJ58,References!$D$136:$D$139,0)),'Whole Building ccASHP Worksheet'!AF38),0))</f>
        <v/>
      </c>
      <c r="AP58" s="349">
        <f>IF(OR('Whole Building ccASHP Worksheet'!$B$15="Integrated/Modulating Control",'Whole Building ccASHP Worksheet'!$B$15="No Fossil Fuel Heating"),IF(K58&gt;=AB58,1,0.9),0.9)</f>
        <v>0.9</v>
      </c>
      <c r="AQ58" s="521" t="str">
        <f>IF(C58="","",INDEX(References!$M$56:$M$66,MATCH(C58&amp;" "&amp;'Whole Building ccASHP Worksheet'!$B$15&amp;" "&amp;AP58,References!$L$56:$L$66,0)))</f>
        <v/>
      </c>
      <c r="AR58" s="521" t="str">
        <f>IF(C58="","",INDEX(References!$N$56:$N$66,MATCH(C58&amp;" "&amp;'Whole Building ccASHP Worksheet'!$B$15&amp;" "&amp;AP58,References!$L$56:$L$66,0)))</f>
        <v/>
      </c>
      <c r="AS58" s="521" t="str">
        <f>IF(C58="","",INDEX(References!$O$56:$O$66,MATCH(C58&amp;" "&amp;'Whole Building ccASHP Worksheet'!$B$15&amp;" "&amp;AP58,References!$L$56:$L$66,0)))</f>
        <v/>
      </c>
      <c r="AT58" s="521" t="str">
        <f>IF(C58="","",INDEX(References!$P$56:$P$66,MATCH(C58&amp;" "&amp;'Whole Building ccASHP Worksheet'!$B$15&amp;" "&amp;AP58,References!$L$56:$L$66,0)))</f>
        <v/>
      </c>
      <c r="AU58" s="521" t="str">
        <f>IF(C58="","",INDEX(References!$Q$56:$Q$66,MATCH(C58&amp;" "&amp;'Whole Building ccASHP Worksheet'!$B$15&amp;" "&amp;AP58,References!$L$56:$L$66,0)))</f>
        <v/>
      </c>
      <c r="AV58" s="521" t="str">
        <f>IF(C58="","",INDEX(References!$R$56:$R$66,MATCH(C58&amp;" "&amp;'Whole Building ccASHP Worksheet'!$B$15&amp;" "&amp;AP58,References!$L$56:$L$66,0)))</f>
        <v/>
      </c>
      <c r="AW58" s="521" t="str">
        <f>IF(C58="","",INDEX(References!$S$56:$S$66,MATCH(C58&amp;" "&amp;'Whole Building ccASHP Worksheet'!$B$15&amp;" "&amp;AP58,References!$L$56:$L$66,0)))</f>
        <v/>
      </c>
      <c r="AX58" s="521" t="str">
        <f>IF(AM58="","",IF(AM58&lt;8.5,References!$M$69,References!$M$70))</f>
        <v/>
      </c>
      <c r="AY58" s="521" t="str">
        <f t="shared" si="44"/>
        <v/>
      </c>
      <c r="AZ58" s="521" t="str">
        <f t="shared" si="45"/>
        <v/>
      </c>
      <c r="BA58" s="521" t="str">
        <f t="shared" si="46"/>
        <v/>
      </c>
      <c r="BB58" s="212" t="str">
        <f>IF(AF58="FAIL","",IF(AND(AL58&gt;0,M58&gt;0),ROUND((AA58/1000)*((1/AL58)-(1/M58)),References!$B$40),0))</f>
        <v/>
      </c>
      <c r="BC58" s="308" t="str">
        <f>IF(AF58="FAIL","",IF(AND(AM58&gt;0,N58&gt;0),ROUND((AB58/1000)*((1/(AM58/3.412))-(1/(N58/3.412))),References!$B$40),ROUND((AB58/1000)*-(1/(N58/3.412)),References!$B$40)))</f>
        <v/>
      </c>
      <c r="BD58" s="308" t="str">
        <f>IF(AF58="FAIL","",IF(AND(AK58=0,AL58=0),0,IF(AK58&gt;0,ROUND((AA58/1000)*((1/AK58)-(1/AY58))*Y58*AV58,References!$B$43),ROUND((AA58/1000)*((1/AL58)-(1/AY58))*Y58*AV58,References!$B$43))))</f>
        <v/>
      </c>
      <c r="BE58" s="308" t="str">
        <f>IF(BD58="","",BD58*References!$B$29)</f>
        <v/>
      </c>
      <c r="BF58" s="308" t="str">
        <f t="shared" si="47"/>
        <v/>
      </c>
      <c r="BG58" s="308" t="str">
        <f>IF(AF58="FAIL","",IF(AND(AZ58&gt;0,BA58&gt;0),ROUND((AB58/1000)*((1/BA58)-(1/AZ58))*Z58*AW58/3.413,References!$B$43),0))</f>
        <v/>
      </c>
      <c r="BH58" s="308" t="str">
        <f>IF(AF58="FAIL","",IF(AND(OR($AJ58="Existing Gas",$AJ58="Existing Oil",$AJ58="Existing Propane"),RIGHT(C58,10)="Heat Pumps"),IF(AND(AZ58&gt;0,AZ58&lt;&gt;""),ROUND(((AB58/1000)*((1/AZ58))*Z58*AW58/3.412),References!$B$43),0),0))</f>
        <v/>
      </c>
      <c r="BI58" s="308" t="str">
        <f>IF(AF58="FAIL","",(BG58*References!$B$29)-(BH58*References!$B$29))</f>
        <v/>
      </c>
      <c r="BJ58" s="308" t="str">
        <f t="shared" si="48"/>
        <v/>
      </c>
      <c r="BK58" s="308" t="str">
        <f t="shared" si="49"/>
        <v/>
      </c>
      <c r="BL58" s="343" t="str">
        <f t="shared" si="50"/>
        <v/>
      </c>
      <c r="BM58" s="343" t="str">
        <f t="shared" si="51"/>
        <v/>
      </c>
      <c r="BN58" s="343" t="str">
        <f t="shared" si="52"/>
        <v/>
      </c>
      <c r="BO58" s="649" t="str">
        <f t="shared" si="53"/>
        <v/>
      </c>
      <c r="BP58" s="649" t="str">
        <f t="shared" si="54"/>
        <v/>
      </c>
      <c r="BQ58" s="650" t="str">
        <f t="shared" si="55"/>
        <v/>
      </c>
      <c r="BR58" s="343" t="str">
        <f t="shared" si="56"/>
        <v/>
      </c>
      <c r="BS58" s="558">
        <f t="shared" si="57"/>
        <v>0</v>
      </c>
      <c r="BT58" s="566" t="e">
        <f t="shared" si="58"/>
        <v>#VALUE!</v>
      </c>
      <c r="BU58" s="526">
        <f t="shared" si="59"/>
        <v>0</v>
      </c>
      <c r="BX58" s="565" t="str">
        <f t="shared" si="33"/>
        <v xml:space="preserve">   All Other</v>
      </c>
      <c r="BY58" s="89" t="str">
        <f>IF(AF58="Fail","",INDEX(References!$AH$4:$AH$86,MATCH(Calculations!BX58,References!$AG$4:$AG$86,0)))</f>
        <v/>
      </c>
      <c r="BZ58" s="89" t="str">
        <f>IF(AF58="FAIL","",BL58*References!$B$21+IF(BM58&gt;0,BM58*References!$B$25,0))</f>
        <v/>
      </c>
      <c r="CA58" s="89" t="str">
        <f>IF(AF58="FAIL","",IF(BM58&gt;0,0,BM58)*References!$B$25+BF58*INDEX(References!$F$136:$F$142,MATCH(IF(LEFT(AJ58,8)="Baseline",LEFT(AJ58,8),AJ58),References!$D$136:$D$142,0)))</f>
        <v/>
      </c>
      <c r="CB58" s="89">
        <f>IF(BY58="",0,ROUND(INDEX(References!$E$118:$E$132,MATCH('Whole Building ccASHP Worksheet'!B38,References!$D$118:$D$132,0))*BB58,References!$B$40))</f>
        <v>0</v>
      </c>
    </row>
    <row r="59" spans="2:80" x14ac:dyDescent="0.3">
      <c r="B59" s="11">
        <v>20</v>
      </c>
      <c r="C59" s="15" t="str">
        <f>IF('Whole Building ccASHP Worksheet'!B39="","",'Whole Building ccASHP Worksheet'!B39)</f>
        <v/>
      </c>
      <c r="D59" s="13" t="str">
        <f>IF('Whole Building ccASHP Worksheet'!C39="","",'Whole Building ccASHP Worksheet'!C39)</f>
        <v/>
      </c>
      <c r="E59" s="13" t="str">
        <f>IF('Whole Building ccASHP Worksheet'!E39="","",'Whole Building ccASHP Worksheet'!E39)</f>
        <v/>
      </c>
      <c r="F59" s="13" t="str">
        <f>IF('Whole Building ccASHP Worksheet'!X39="","",'Whole Building ccASHP Worksheet'!X39)</f>
        <v/>
      </c>
      <c r="G59" s="13" t="str">
        <f>IF('Whole Building ccASHP Worksheet'!Y39="","",'Whole Building ccASHP Worksheet'!Y39)</f>
        <v/>
      </c>
      <c r="H59" s="565" t="str">
        <f t="shared" si="34"/>
        <v xml:space="preserve"> All Other</v>
      </c>
      <c r="I59" s="511" t="str">
        <f t="shared" si="28"/>
        <v xml:space="preserve">  </v>
      </c>
      <c r="J59" s="15" t="str">
        <f>IF('Whole Building ccASHP Worksheet'!I39="","",'Whole Building ccASHP Worksheet'!I39)</f>
        <v/>
      </c>
      <c r="K59" s="14" t="str">
        <f>IF('Whole Building ccASHP Worksheet'!J39="","",'Whole Building ccASHP Worksheet'!J39)</f>
        <v/>
      </c>
      <c r="L59" s="15" t="str">
        <f>IF('Whole Building ccASHP Worksheet'!K39="","",'Whole Building ccASHP Worksheet'!K39)</f>
        <v/>
      </c>
      <c r="M59" s="13" t="str">
        <f>IF('Whole Building ccASHP Worksheet'!L39="","",'Whole Building ccASHP Worksheet'!L39)</f>
        <v/>
      </c>
      <c r="N59" s="13" t="str">
        <f>IF('Whole Building ccASHP Worksheet'!M39="","",'Whole Building ccASHP Worksheet'!M39)</f>
        <v/>
      </c>
      <c r="O59" s="13" t="str">
        <f>IF('Whole Building ccASHP Worksheet'!N39="","",'Whole Building ccASHP Worksheet'!N39)</f>
        <v/>
      </c>
      <c r="P59" s="15" t="str">
        <f t="shared" si="29"/>
        <v/>
      </c>
      <c r="Q59" s="13" t="str">
        <f t="shared" si="30"/>
        <v/>
      </c>
      <c r="R59" s="13" t="str">
        <f t="shared" si="31"/>
        <v/>
      </c>
      <c r="S59" s="13" t="str">
        <f t="shared" si="32"/>
        <v/>
      </c>
      <c r="T59" s="15" t="str">
        <f t="shared" si="35"/>
        <v/>
      </c>
      <c r="U59" s="13" t="str">
        <f t="shared" si="36"/>
        <v/>
      </c>
      <c r="V59" s="13" t="str">
        <f t="shared" si="37"/>
        <v/>
      </c>
      <c r="W59" s="13" t="str">
        <f t="shared" si="38"/>
        <v/>
      </c>
      <c r="X59" s="15" t="str">
        <f>'Whole Building ccASHP Worksheet'!BuildingType</f>
        <v>Select …</v>
      </c>
      <c r="Y59" s="530" t="e">
        <f>IF(OR(X59="",X59="… please select …"),0,INDEX(References!$H$22:$H$43,MATCH(X59,References!$G$22:$G$43,0)))</f>
        <v>#N/A</v>
      </c>
      <c r="Z59" s="61" t="e">
        <f>IF(OR(X59="",X59="… please select …"),0,INDEX(References!$I$22:$I$43,MATCH(X59,References!$G$22:$G$43,0)))</f>
        <v>#N/A</v>
      </c>
      <c r="AA59" s="15" t="str">
        <f>IF(OR('Whole Building ccASHP Worksheet'!P39="",'Whole Building ccASHP Worksheet'!P39=0),"",'Whole Building ccASHP Worksheet'!P39)</f>
        <v/>
      </c>
      <c r="AB59" s="13" t="str">
        <f>IF(OR('Whole Building ccASHP Worksheet'!Q39="",'Whole Building ccASHP Worksheet'!Q39=0),"",'Whole Building ccASHP Worksheet'!Q39)</f>
        <v/>
      </c>
      <c r="AC59" s="530" t="str">
        <f t="shared" si="39"/>
        <v/>
      </c>
      <c r="AD59" s="530" t="str">
        <f t="shared" si="40"/>
        <v/>
      </c>
      <c r="AE59" s="61" t="str">
        <f t="shared" si="41"/>
        <v/>
      </c>
      <c r="AF59" s="511" t="str">
        <f t="shared" si="42"/>
        <v>FAIL</v>
      </c>
      <c r="AG59" s="10">
        <v>20</v>
      </c>
      <c r="AH59" s="21" t="str">
        <f t="shared" si="43"/>
        <v xml:space="preserve">  </v>
      </c>
      <c r="AI59" s="21" t="str">
        <f>IF(OR('Whole Building ccASHP Worksheet'!X39="",'Whole Building ccASHP Worksheet'!X39="None"),IF($I59="  ","","Baseline "&amp;INDEX(References!$W$4:$W$44,MATCH($I59,References!$T$4:$T$44,0))),"Existing "&amp;'Whole Building ccASHP Worksheet'!X39)</f>
        <v/>
      </c>
      <c r="AJ59" s="21" t="str">
        <f>IF(OR('Whole Building ccASHP Worksheet'!Y39="",'Whole Building ccASHP Worksheet'!Y39="None"),IF($I59="  ","","Baseline "&amp;INDEX(References!$W$4:$W$44,MATCH($I59,References!$T$4:$T$44,0))),"Existing "&amp;'Whole Building ccASHP Worksheet'!Y39)</f>
        <v/>
      </c>
      <c r="AK59" s="342" t="str">
        <f>_xlfn.IFNA(IF(OR('Whole Building ccASHP Worksheet'!AB39=0,'Whole Building ccASHP Worksheet'!AB39=""),IF(LEFT(I59,3)="pac",0,INDEX(References!$BL$5:$BL$45,MATCH(I59,References!$AY$5:$AY$45,0))),'Whole Building ccASHP Worksheet'!AB39),"")</f>
        <v/>
      </c>
      <c r="AL59" s="343" t="str">
        <f>IF(I59="  ","",IF('Whole Building ccASHP Worksheet'!AC39="",IF(LEFT(I59,3)="Pac",(INDEX(References!$BM$4:$BM$44,MATCH(I59,References!$AY$4:$AY$44,0)))-(0.3*J59*12000/1000),INDEX(References!$BM$4:$BM$44,MATCH(I59,References!$AY$4:$AY$44,0))),'Whole Building ccASHP Worksheet'!AC39))</f>
        <v/>
      </c>
      <c r="AM59" s="343" t="str">
        <f>IF(I59="  ","",IF(OR($AJ59="Existing Gas",$AJ59="Existing Oil",$AJ59="Existing Propane"),0,IF(AND('Whole Building ccASHP Worksheet'!AD39=0,'Whole Building ccASHP Worksheet'!AE39=0),IF(LEFT(I59,3)="pac",0,INDEX(References!$BN$5:$BN$44,MATCH(I59,References!$AY$5:$AY$44,0))),IF(AND('Whole Building ccASHP Worksheet'!AD39=0,'Whole Building ccASHP Worksheet'!AE39&gt;0),'Whole Building ccASHP Worksheet'!AE39*References!$B$49,'Whole Building ccASHP Worksheet'!AD39))))</f>
        <v/>
      </c>
      <c r="AN59" s="343" t="str">
        <f>IF($I59="  ","",IF(OR($AJ59="Existing Gas",$AJ59="Existing Oil",$AJ59="Existing Propane"),0,IF(OR('Whole Building ccASHP Worksheet'!AE39="",'Whole Building ccASHP Worksheet'!AE39=0),IF(LEFT(I59,3)="Pac",(INDEX(References!$BN$5:$BN$44,MATCH(I59,References!$AY$5:$AY$44,0)))-INDEX(References!$BO$5:$BO$44,MATCH(I59,References!$AY$5:$AY$44,0))*J59*12000/1000,INDEX(References!$BO$5:$BO$44,MATCH(I59,References!$AY$5:$AY$44,0))),'Whole Building ccASHP Worksheet'!AE39)))</f>
        <v/>
      </c>
      <c r="AO59" s="521" t="str">
        <f>IF($I59="  ","",IF(OR($AJ59="Existing Gas",$AJ59="Existing Oil",$AJ59="Existing Propane"),IF(OR('Whole Building ccASHP Worksheet'!AF39="",'Whole Building ccASHP Worksheet'!AF39=0),INDEX(References!$E$136:$E$139,MATCH(AJ59,References!$D$136:$D$139,0)),'Whole Building ccASHP Worksheet'!AF39),0))</f>
        <v/>
      </c>
      <c r="AP59" s="349">
        <f>IF(OR('Whole Building ccASHP Worksheet'!$B$15="Integrated/Modulating Control",'Whole Building ccASHP Worksheet'!$B$15="No Fossil Fuel Heating"),IF(K59&gt;=AB59,1,0.9),0.9)</f>
        <v>0.9</v>
      </c>
      <c r="AQ59" s="521" t="str">
        <f>IF(C59="","",INDEX(References!$M$56:$M$66,MATCH(C59&amp;" "&amp;'Whole Building ccASHP Worksheet'!$B$15&amp;" "&amp;AP59,References!$L$56:$L$66,0)))</f>
        <v/>
      </c>
      <c r="AR59" s="521" t="str">
        <f>IF(C59="","",INDEX(References!$N$56:$N$66,MATCH(C59&amp;" "&amp;'Whole Building ccASHP Worksheet'!$B$15&amp;" "&amp;AP59,References!$L$56:$L$66,0)))</f>
        <v/>
      </c>
      <c r="AS59" s="521" t="str">
        <f>IF(C59="","",INDEX(References!$O$56:$O$66,MATCH(C59&amp;" "&amp;'Whole Building ccASHP Worksheet'!$B$15&amp;" "&amp;AP59,References!$L$56:$L$66,0)))</f>
        <v/>
      </c>
      <c r="AT59" s="521" t="str">
        <f>IF(C59="","",INDEX(References!$P$56:$P$66,MATCH(C59&amp;" "&amp;'Whole Building ccASHP Worksheet'!$B$15&amp;" "&amp;AP59,References!$L$56:$L$66,0)))</f>
        <v/>
      </c>
      <c r="AU59" s="521" t="str">
        <f>IF(C59="","",INDEX(References!$Q$56:$Q$66,MATCH(C59&amp;" "&amp;'Whole Building ccASHP Worksheet'!$B$15&amp;" "&amp;AP59,References!$L$56:$L$66,0)))</f>
        <v/>
      </c>
      <c r="AV59" s="521" t="str">
        <f>IF(C59="","",INDEX(References!$R$56:$R$66,MATCH(C59&amp;" "&amp;'Whole Building ccASHP Worksheet'!$B$15&amp;" "&amp;AP59,References!$L$56:$L$66,0)))</f>
        <v/>
      </c>
      <c r="AW59" s="521" t="str">
        <f>IF(C59="","",INDEX(References!$S$56:$S$66,MATCH(C59&amp;" "&amp;'Whole Building ccASHP Worksheet'!$B$15&amp;" "&amp;AP59,References!$L$56:$L$66,0)))</f>
        <v/>
      </c>
      <c r="AX59" s="521" t="str">
        <f>IF(AM59="","",IF(AM59&lt;8.5,References!$M$69,References!$M$70))</f>
        <v/>
      </c>
      <c r="AY59" s="521" t="str">
        <f t="shared" si="44"/>
        <v/>
      </c>
      <c r="AZ59" s="521" t="str">
        <f t="shared" si="45"/>
        <v/>
      </c>
      <c r="BA59" s="521" t="str">
        <f t="shared" si="46"/>
        <v/>
      </c>
      <c r="BB59" s="212" t="str">
        <f>IF(AF59="FAIL","",IF(AND(AL59&gt;0,M59&gt;0),ROUND((AA59/1000)*((1/AL59)-(1/M59)),References!$B$40),0))</f>
        <v/>
      </c>
      <c r="BC59" s="308" t="str">
        <f>IF(AF59="FAIL","",IF(AND(AM59&gt;0,N59&gt;0),ROUND((AB59/1000)*((1/(AM59/3.412))-(1/(N59/3.412))),References!$B$40),ROUND((AB59/1000)*-(1/(N59/3.412)),References!$B$40)))</f>
        <v/>
      </c>
      <c r="BD59" s="308" t="str">
        <f>IF(AF59="FAIL","",IF(AND(AK59=0,AL59=0),0,IF(AK59&gt;0,ROUND((AA59/1000)*((1/AK59)-(1/AY59))*Y59*AV59,References!$B$43),ROUND((AA59/1000)*((1/AL59)-(1/AY59))*Y59*AV59,References!$B$43))))</f>
        <v/>
      </c>
      <c r="BE59" s="308" t="str">
        <f>IF(BD59="","",BD59*References!$B$29)</f>
        <v/>
      </c>
      <c r="BF59" s="308" t="str">
        <f t="shared" si="47"/>
        <v/>
      </c>
      <c r="BG59" s="308" t="str">
        <f>IF(AF59="FAIL","",IF(AND(AZ59&gt;0,BA59&gt;0),ROUND((AB59/1000)*((1/BA59)-(1/AZ59))*Z59*AW59/3.413,References!$B$43),0))</f>
        <v/>
      </c>
      <c r="BH59" s="308" t="str">
        <f>IF(AF59="FAIL","",IF(AND(OR($AJ59="Existing Gas",$AJ59="Existing Oil",$AJ59="Existing Propane"),RIGHT(C59,10)="Heat Pumps"),IF(AND(AZ59&gt;0,AZ59&lt;&gt;""),ROUND(((AB59/1000)*((1/AZ59))*Z59*AW59/3.412),References!$B$43),0),0))</f>
        <v/>
      </c>
      <c r="BI59" s="308" t="str">
        <f>IF(AF59="FAIL","",(BG59*References!$B$29)-(BH59*References!$B$29))</f>
        <v/>
      </c>
      <c r="BJ59" s="308" t="str">
        <f t="shared" si="48"/>
        <v/>
      </c>
      <c r="BK59" s="308" t="str">
        <f t="shared" si="49"/>
        <v/>
      </c>
      <c r="BL59" s="343" t="str">
        <f t="shared" si="50"/>
        <v/>
      </c>
      <c r="BM59" s="343" t="str">
        <f t="shared" si="51"/>
        <v/>
      </c>
      <c r="BN59" s="343" t="str">
        <f t="shared" si="52"/>
        <v/>
      </c>
      <c r="BO59" s="649" t="str">
        <f t="shared" si="53"/>
        <v/>
      </c>
      <c r="BP59" s="649" t="str">
        <f t="shared" si="54"/>
        <v/>
      </c>
      <c r="BQ59" s="650" t="str">
        <f t="shared" si="55"/>
        <v/>
      </c>
      <c r="BR59" s="343" t="str">
        <f t="shared" si="56"/>
        <v/>
      </c>
      <c r="BS59" s="558">
        <f t="shared" si="57"/>
        <v>0</v>
      </c>
      <c r="BT59" s="566" t="e">
        <f t="shared" si="58"/>
        <v>#VALUE!</v>
      </c>
      <c r="BU59" s="526">
        <f t="shared" si="59"/>
        <v>0</v>
      </c>
      <c r="BX59" s="565" t="str">
        <f t="shared" si="33"/>
        <v xml:space="preserve">   All Other</v>
      </c>
      <c r="BY59" s="89" t="str">
        <f>IF(AF59="Fail","",INDEX(References!$AH$4:$AH$86,MATCH(Calculations!BX59,References!$AG$4:$AG$86,0)))</f>
        <v/>
      </c>
      <c r="BZ59" s="89" t="str">
        <f>IF(AF59="FAIL","",BL59*References!$B$21+IF(BM59&gt;0,BM59*References!$B$25,0))</f>
        <v/>
      </c>
      <c r="CA59" s="89" t="str">
        <f>IF(AF59="FAIL","",IF(BM59&gt;0,0,BM59)*References!$B$25+BF59*INDEX(References!$F$136:$F$142,MATCH(IF(LEFT(AJ59,8)="Baseline",LEFT(AJ59,8),AJ59),References!$D$136:$D$142,0)))</f>
        <v/>
      </c>
      <c r="CB59" s="89">
        <f>IF(BY59="",0,ROUND(INDEX(References!$E$118:$E$132,MATCH('Whole Building ccASHP Worksheet'!B39,References!$D$118:$D$132,0))*BB59,References!$B$40))</f>
        <v>0</v>
      </c>
    </row>
    <row r="60" spans="2:80" x14ac:dyDescent="0.3">
      <c r="B60" s="11">
        <v>21</v>
      </c>
      <c r="C60" s="15" t="str">
        <f>IF('Whole Building ccASHP Worksheet'!B40="","",'Whole Building ccASHP Worksheet'!B40)</f>
        <v/>
      </c>
      <c r="D60" s="13" t="str">
        <f>IF('Whole Building ccASHP Worksheet'!C40="","",'Whole Building ccASHP Worksheet'!C40)</f>
        <v/>
      </c>
      <c r="E60" s="13" t="str">
        <f>IF('Whole Building ccASHP Worksheet'!E40="","",'Whole Building ccASHP Worksheet'!E40)</f>
        <v/>
      </c>
      <c r="F60" s="13" t="str">
        <f>IF('Whole Building ccASHP Worksheet'!X40="","",'Whole Building ccASHP Worksheet'!X40)</f>
        <v/>
      </c>
      <c r="G60" s="13" t="str">
        <f>IF('Whole Building ccASHP Worksheet'!Y40="","",'Whole Building ccASHP Worksheet'!Y40)</f>
        <v/>
      </c>
      <c r="H60" s="565" t="str">
        <f t="shared" si="34"/>
        <v xml:space="preserve"> All Other</v>
      </c>
      <c r="I60" s="511" t="str">
        <f t="shared" si="28"/>
        <v xml:space="preserve">  </v>
      </c>
      <c r="J60" s="15" t="str">
        <f>IF('Whole Building ccASHP Worksheet'!I40="","",'Whole Building ccASHP Worksheet'!I40)</f>
        <v/>
      </c>
      <c r="K60" s="14" t="str">
        <f>IF('Whole Building ccASHP Worksheet'!J40="","",'Whole Building ccASHP Worksheet'!J40)</f>
        <v/>
      </c>
      <c r="L60" s="15" t="str">
        <f>IF('Whole Building ccASHP Worksheet'!K40="","",'Whole Building ccASHP Worksheet'!K40)</f>
        <v/>
      </c>
      <c r="M60" s="13" t="str">
        <f>IF('Whole Building ccASHP Worksheet'!L40="","",'Whole Building ccASHP Worksheet'!L40)</f>
        <v/>
      </c>
      <c r="N60" s="13" t="str">
        <f>IF('Whole Building ccASHP Worksheet'!M40="","",'Whole Building ccASHP Worksheet'!M40)</f>
        <v/>
      </c>
      <c r="O60" s="13" t="str">
        <f>IF('Whole Building ccASHP Worksheet'!N40="","",'Whole Building ccASHP Worksheet'!N40)</f>
        <v/>
      </c>
      <c r="P60" s="15" t="str">
        <f t="shared" si="29"/>
        <v/>
      </c>
      <c r="Q60" s="13" t="str">
        <f t="shared" si="30"/>
        <v/>
      </c>
      <c r="R60" s="13" t="str">
        <f t="shared" si="31"/>
        <v/>
      </c>
      <c r="S60" s="13" t="str">
        <f t="shared" si="32"/>
        <v/>
      </c>
      <c r="T60" s="15" t="str">
        <f t="shared" si="35"/>
        <v/>
      </c>
      <c r="U60" s="13" t="str">
        <f t="shared" si="36"/>
        <v/>
      </c>
      <c r="V60" s="13" t="str">
        <f t="shared" si="37"/>
        <v/>
      </c>
      <c r="W60" s="13" t="str">
        <f t="shared" si="38"/>
        <v/>
      </c>
      <c r="X60" s="15" t="str">
        <f>'Whole Building ccASHP Worksheet'!BuildingType</f>
        <v>Select …</v>
      </c>
      <c r="Y60" s="530" t="e">
        <f>IF(OR(X60="",X60="… please select …"),0,INDEX(References!$H$22:$H$43,MATCH(X60,References!$G$22:$G$43,0)))</f>
        <v>#N/A</v>
      </c>
      <c r="Z60" s="61" t="e">
        <f>IF(OR(X60="",X60="… please select …"),0,INDEX(References!$I$22:$I$43,MATCH(X60,References!$G$22:$G$43,0)))</f>
        <v>#N/A</v>
      </c>
      <c r="AA60" s="15" t="str">
        <f>IF(OR('Whole Building ccASHP Worksheet'!P40="",'Whole Building ccASHP Worksheet'!P40=0),"",'Whole Building ccASHP Worksheet'!P40)</f>
        <v/>
      </c>
      <c r="AB60" s="13" t="str">
        <f>IF(OR('Whole Building ccASHP Worksheet'!Q40="",'Whole Building ccASHP Worksheet'!Q40=0),"",'Whole Building ccASHP Worksheet'!Q40)</f>
        <v/>
      </c>
      <c r="AC60" s="530" t="str">
        <f t="shared" si="39"/>
        <v/>
      </c>
      <c r="AD60" s="530" t="str">
        <f t="shared" si="40"/>
        <v/>
      </c>
      <c r="AE60" s="61" t="str">
        <f t="shared" si="41"/>
        <v/>
      </c>
      <c r="AF60" s="511" t="str">
        <f t="shared" si="42"/>
        <v>FAIL</v>
      </c>
      <c r="AG60" s="10">
        <v>21</v>
      </c>
      <c r="AH60" s="21" t="str">
        <f t="shared" si="43"/>
        <v xml:space="preserve">  </v>
      </c>
      <c r="AI60" s="21" t="str">
        <f>IF(OR('Whole Building ccASHP Worksheet'!X40="",'Whole Building ccASHP Worksheet'!X40="None"),IF($I60="  ","","Baseline "&amp;INDEX(References!$W$4:$W$44,MATCH($I60,References!$T$4:$T$44,0))),"Existing "&amp;'Whole Building ccASHP Worksheet'!X40)</f>
        <v/>
      </c>
      <c r="AJ60" s="21" t="str">
        <f>IF(OR('Whole Building ccASHP Worksheet'!Y40="",'Whole Building ccASHP Worksheet'!Y40="None"),IF($I60="  ","","Baseline "&amp;INDEX(References!$W$4:$W$44,MATCH($I60,References!$T$4:$T$44,0))),"Existing "&amp;'Whole Building ccASHP Worksheet'!Y40)</f>
        <v/>
      </c>
      <c r="AK60" s="342" t="str">
        <f>_xlfn.IFNA(IF(OR('Whole Building ccASHP Worksheet'!AB40=0,'Whole Building ccASHP Worksheet'!AB40=""),IF(LEFT(I60,3)="pac",0,INDEX(References!$BL$5:$BL$45,MATCH(I60,References!$AY$5:$AY$45,0))),'Whole Building ccASHP Worksheet'!AB40),"")</f>
        <v/>
      </c>
      <c r="AL60" s="343" t="str">
        <f>IF(I60="  ","",IF('Whole Building ccASHP Worksheet'!AC40="",IF(LEFT(I60,3)="Pac",(INDEX(References!$BM$4:$BM$44,MATCH(I60,References!$AY$4:$AY$44,0)))-(0.3*J60*12000/1000),INDEX(References!$BM$4:$BM$44,MATCH(I60,References!$AY$4:$AY$44,0))),'Whole Building ccASHP Worksheet'!AC40))</f>
        <v/>
      </c>
      <c r="AM60" s="343" t="str">
        <f>IF(I60="  ","",IF(OR($AJ60="Existing Gas",$AJ60="Existing Oil",$AJ60="Existing Propane"),0,IF(AND('Whole Building ccASHP Worksheet'!AD40=0,'Whole Building ccASHP Worksheet'!AE40=0),IF(LEFT(I60,3)="pac",0,INDEX(References!$BN$5:$BN$44,MATCH(I60,References!$AY$5:$AY$44,0))),IF(AND('Whole Building ccASHP Worksheet'!AD40=0,'Whole Building ccASHP Worksheet'!AE40&gt;0),'Whole Building ccASHP Worksheet'!AE40*References!$B$49,'Whole Building ccASHP Worksheet'!AD40))))</f>
        <v/>
      </c>
      <c r="AN60" s="343" t="str">
        <f>IF($I60="  ","",IF(OR($AJ60="Existing Gas",$AJ60="Existing Oil",$AJ60="Existing Propane"),0,IF(OR('Whole Building ccASHP Worksheet'!AE40="",'Whole Building ccASHP Worksheet'!AE40=0),IF(LEFT(I60,3)="Pac",(INDEX(References!$BN$5:$BN$44,MATCH(I60,References!$AY$5:$AY$44,0)))-INDEX(References!$BO$5:$BO$44,MATCH(I60,References!$AY$5:$AY$44,0))*J60*12000/1000,INDEX(References!$BO$5:$BO$44,MATCH(I60,References!$AY$5:$AY$44,0))),'Whole Building ccASHP Worksheet'!AE40)))</f>
        <v/>
      </c>
      <c r="AO60" s="521" t="str">
        <f>IF($I60="  ","",IF(OR($AJ60="Existing Gas",$AJ60="Existing Oil",$AJ60="Existing Propane"),IF(OR('Whole Building ccASHP Worksheet'!AF40="",'Whole Building ccASHP Worksheet'!AF40=0),INDEX(References!$E$136:$E$139,MATCH(AJ60,References!$D$136:$D$139,0)),'Whole Building ccASHP Worksheet'!AF40),0))</f>
        <v/>
      </c>
      <c r="AP60" s="349">
        <f>IF(OR('Whole Building ccASHP Worksheet'!$B$15="Integrated/Modulating Control",'Whole Building ccASHP Worksheet'!$B$15="No Fossil Fuel Heating"),IF(K60&gt;=AB60,1,0.9),0.9)</f>
        <v>0.9</v>
      </c>
      <c r="AQ60" s="521" t="str">
        <f>IF(C60="","",INDEX(References!$M$56:$M$66,MATCH(C60&amp;" "&amp;'Whole Building ccASHP Worksheet'!$B$15&amp;" "&amp;AP60,References!$L$56:$L$66,0)))</f>
        <v/>
      </c>
      <c r="AR60" s="521" t="str">
        <f>IF(C60="","",INDEX(References!$N$56:$N$66,MATCH(C60&amp;" "&amp;'Whole Building ccASHP Worksheet'!$B$15&amp;" "&amp;AP60,References!$L$56:$L$66,0)))</f>
        <v/>
      </c>
      <c r="AS60" s="521" t="str">
        <f>IF(C60="","",INDEX(References!$O$56:$O$66,MATCH(C60&amp;" "&amp;'Whole Building ccASHP Worksheet'!$B$15&amp;" "&amp;AP60,References!$L$56:$L$66,0)))</f>
        <v/>
      </c>
      <c r="AT60" s="521" t="str">
        <f>IF(C60="","",INDEX(References!$P$56:$P$66,MATCH(C60&amp;" "&amp;'Whole Building ccASHP Worksheet'!$B$15&amp;" "&amp;AP60,References!$L$56:$L$66,0)))</f>
        <v/>
      </c>
      <c r="AU60" s="521" t="str">
        <f>IF(C60="","",INDEX(References!$Q$56:$Q$66,MATCH(C60&amp;" "&amp;'Whole Building ccASHP Worksheet'!$B$15&amp;" "&amp;AP60,References!$L$56:$L$66,0)))</f>
        <v/>
      </c>
      <c r="AV60" s="521" t="str">
        <f>IF(C60="","",INDEX(References!$R$56:$R$66,MATCH(C60&amp;" "&amp;'Whole Building ccASHP Worksheet'!$B$15&amp;" "&amp;AP60,References!$L$56:$L$66,0)))</f>
        <v/>
      </c>
      <c r="AW60" s="521" t="str">
        <f>IF(C60="","",INDEX(References!$S$56:$S$66,MATCH(C60&amp;" "&amp;'Whole Building ccASHP Worksheet'!$B$15&amp;" "&amp;AP60,References!$L$56:$L$66,0)))</f>
        <v/>
      </c>
      <c r="AX60" s="521" t="str">
        <f>IF(AM60="","",IF(AM60&lt;8.5,References!$M$69,References!$M$70))</f>
        <v/>
      </c>
      <c r="AY60" s="521" t="str">
        <f t="shared" si="44"/>
        <v/>
      </c>
      <c r="AZ60" s="521" t="str">
        <f t="shared" si="45"/>
        <v/>
      </c>
      <c r="BA60" s="521" t="str">
        <f t="shared" si="46"/>
        <v/>
      </c>
      <c r="BB60" s="212" t="str">
        <f>IF(AF60="FAIL","",IF(AND(AL60&gt;0,M60&gt;0),ROUND((AA60/1000)*((1/AL60)-(1/M60)),References!$B$40),0))</f>
        <v/>
      </c>
      <c r="BC60" s="308" t="str">
        <f>IF(AF60="FAIL","",IF(AND(AM60&gt;0,N60&gt;0),ROUND((AB60/1000)*((1/(AM60/3.412))-(1/(N60/3.412))),References!$B$40),ROUND((AB60/1000)*-(1/(N60/3.412)),References!$B$40)))</f>
        <v/>
      </c>
      <c r="BD60" s="308" t="str">
        <f>IF(AF60="FAIL","",IF(AND(AK60=0,AL60=0),0,IF(AK60&gt;0,ROUND((AA60/1000)*((1/AK60)-(1/AY60))*Y60*AV60,References!$B$43),ROUND((AA60/1000)*((1/AL60)-(1/AY60))*Y60*AV60,References!$B$43))))</f>
        <v/>
      </c>
      <c r="BE60" s="308" t="str">
        <f>IF(BD60="","",BD60*References!$B$29)</f>
        <v/>
      </c>
      <c r="BF60" s="308" t="str">
        <f t="shared" si="47"/>
        <v/>
      </c>
      <c r="BG60" s="308" t="str">
        <f>IF(AF60="FAIL","",IF(AND(AZ60&gt;0,BA60&gt;0),ROUND((AB60/1000)*((1/BA60)-(1/AZ60))*Z60*AW60/3.413,References!$B$43),0))</f>
        <v/>
      </c>
      <c r="BH60" s="308" t="str">
        <f>IF(AF60="FAIL","",IF(AND(OR($AJ60="Existing Gas",$AJ60="Existing Oil",$AJ60="Existing Propane"),RIGHT(C60,10)="Heat Pumps"),IF(AND(AZ60&gt;0,AZ60&lt;&gt;""),ROUND(((AB60/1000)*((1/AZ60))*Z60*AW60/3.412),References!$B$43),0),0))</f>
        <v/>
      </c>
      <c r="BI60" s="308" t="str">
        <f>IF(AF60="FAIL","",(BG60*References!$B$29)-(BH60*References!$B$29))</f>
        <v/>
      </c>
      <c r="BJ60" s="308" t="str">
        <f t="shared" si="48"/>
        <v/>
      </c>
      <c r="BK60" s="308" t="str">
        <f t="shared" si="49"/>
        <v/>
      </c>
      <c r="BL60" s="343" t="str">
        <f t="shared" si="50"/>
        <v/>
      </c>
      <c r="BM60" s="343" t="str">
        <f t="shared" si="51"/>
        <v/>
      </c>
      <c r="BN60" s="343" t="str">
        <f t="shared" si="52"/>
        <v/>
      </c>
      <c r="BO60" s="649" t="str">
        <f t="shared" si="53"/>
        <v/>
      </c>
      <c r="BP60" s="649" t="str">
        <f t="shared" si="54"/>
        <v/>
      </c>
      <c r="BQ60" s="650" t="str">
        <f t="shared" si="55"/>
        <v/>
      </c>
      <c r="BR60" s="343" t="str">
        <f t="shared" si="56"/>
        <v/>
      </c>
      <c r="BS60" s="558">
        <f t="shared" si="57"/>
        <v>0</v>
      </c>
      <c r="BT60" s="566" t="e">
        <f t="shared" si="58"/>
        <v>#VALUE!</v>
      </c>
      <c r="BU60" s="526">
        <f t="shared" si="59"/>
        <v>0</v>
      </c>
      <c r="BX60" s="565" t="str">
        <f t="shared" si="33"/>
        <v xml:space="preserve">   All Other</v>
      </c>
      <c r="BY60" s="89" t="str">
        <f>IF(AF60="Fail","",INDEX(References!$AH$4:$AH$86,MATCH(Calculations!BX60,References!$AG$4:$AG$86,0)))</f>
        <v/>
      </c>
      <c r="BZ60" s="89" t="str">
        <f>IF(AF60="FAIL","",BL60*References!$B$21+IF(BM60&gt;0,BM60*References!$B$25,0))</f>
        <v/>
      </c>
      <c r="CA60" s="89" t="str">
        <f>IF(AF60="FAIL","",IF(BM60&gt;0,0,BM60)*References!$B$25+BF60*INDEX(References!$F$136:$F$142,MATCH(IF(LEFT(AJ60,8)="Baseline",LEFT(AJ60,8),AJ60),References!$D$136:$D$142,0)))</f>
        <v/>
      </c>
      <c r="CB60" s="89">
        <f>IF(BY60="",0,ROUND(INDEX(References!$E$118:$E$132,MATCH('Whole Building ccASHP Worksheet'!B40,References!$D$118:$D$132,0))*BB60,References!$B$40))</f>
        <v>0</v>
      </c>
    </row>
    <row r="61" spans="2:80" x14ac:dyDescent="0.3">
      <c r="B61" s="11">
        <v>22</v>
      </c>
      <c r="C61" s="15" t="str">
        <f>IF('Whole Building ccASHP Worksheet'!B41="","",'Whole Building ccASHP Worksheet'!B41)</f>
        <v/>
      </c>
      <c r="D61" s="13" t="str">
        <f>IF('Whole Building ccASHP Worksheet'!C41="","",'Whole Building ccASHP Worksheet'!C41)</f>
        <v/>
      </c>
      <c r="E61" s="13" t="str">
        <f>IF('Whole Building ccASHP Worksheet'!E41="","",'Whole Building ccASHP Worksheet'!E41)</f>
        <v/>
      </c>
      <c r="F61" s="13" t="str">
        <f>IF('Whole Building ccASHP Worksheet'!X41="","",'Whole Building ccASHP Worksheet'!X41)</f>
        <v/>
      </c>
      <c r="G61" s="13" t="str">
        <f>IF('Whole Building ccASHP Worksheet'!Y41="","",'Whole Building ccASHP Worksheet'!Y41)</f>
        <v/>
      </c>
      <c r="H61" s="565" t="str">
        <f t="shared" si="34"/>
        <v xml:space="preserve"> All Other</v>
      </c>
      <c r="I61" s="511" t="str">
        <f t="shared" si="28"/>
        <v xml:space="preserve">  </v>
      </c>
      <c r="J61" s="15" t="str">
        <f>IF('Whole Building ccASHP Worksheet'!I41="","",'Whole Building ccASHP Worksheet'!I41)</f>
        <v/>
      </c>
      <c r="K61" s="14" t="str">
        <f>IF('Whole Building ccASHP Worksheet'!J41="","",'Whole Building ccASHP Worksheet'!J41)</f>
        <v/>
      </c>
      <c r="L61" s="15" t="str">
        <f>IF('Whole Building ccASHP Worksheet'!K41="","",'Whole Building ccASHP Worksheet'!K41)</f>
        <v/>
      </c>
      <c r="M61" s="13" t="str">
        <f>IF('Whole Building ccASHP Worksheet'!L41="","",'Whole Building ccASHP Worksheet'!L41)</f>
        <v/>
      </c>
      <c r="N61" s="13" t="str">
        <f>IF('Whole Building ccASHP Worksheet'!M41="","",'Whole Building ccASHP Worksheet'!M41)</f>
        <v/>
      </c>
      <c r="O61" s="13" t="str">
        <f>IF('Whole Building ccASHP Worksheet'!N41="","",'Whole Building ccASHP Worksheet'!N41)</f>
        <v/>
      </c>
      <c r="P61" s="15" t="str">
        <f t="shared" si="29"/>
        <v/>
      </c>
      <c r="Q61" s="13" t="str">
        <f t="shared" si="30"/>
        <v/>
      </c>
      <c r="R61" s="13" t="str">
        <f t="shared" si="31"/>
        <v/>
      </c>
      <c r="S61" s="13" t="str">
        <f t="shared" si="32"/>
        <v/>
      </c>
      <c r="T61" s="15" t="str">
        <f t="shared" si="35"/>
        <v/>
      </c>
      <c r="U61" s="13" t="str">
        <f t="shared" si="36"/>
        <v/>
      </c>
      <c r="V61" s="13" t="str">
        <f t="shared" si="37"/>
        <v/>
      </c>
      <c r="W61" s="13" t="str">
        <f t="shared" si="38"/>
        <v/>
      </c>
      <c r="X61" s="15" t="str">
        <f>'Whole Building ccASHP Worksheet'!BuildingType</f>
        <v>Select …</v>
      </c>
      <c r="Y61" s="530" t="e">
        <f>IF(OR(X61="",X61="… please select …"),0,INDEX(References!$H$22:$H$43,MATCH(X61,References!$G$22:$G$43,0)))</f>
        <v>#N/A</v>
      </c>
      <c r="Z61" s="61" t="e">
        <f>IF(OR(X61="",X61="… please select …"),0,INDEX(References!$I$22:$I$43,MATCH(X61,References!$G$22:$G$43,0)))</f>
        <v>#N/A</v>
      </c>
      <c r="AA61" s="15" t="str">
        <f>IF(OR('Whole Building ccASHP Worksheet'!P41="",'Whole Building ccASHP Worksheet'!P41=0),"",'Whole Building ccASHP Worksheet'!P41)</f>
        <v/>
      </c>
      <c r="AB61" s="13" t="str">
        <f>IF(OR('Whole Building ccASHP Worksheet'!Q41="",'Whole Building ccASHP Worksheet'!Q41=0),"",'Whole Building ccASHP Worksheet'!Q41)</f>
        <v/>
      </c>
      <c r="AC61" s="530" t="str">
        <f t="shared" si="39"/>
        <v/>
      </c>
      <c r="AD61" s="530" t="str">
        <f t="shared" si="40"/>
        <v/>
      </c>
      <c r="AE61" s="61" t="str">
        <f t="shared" si="41"/>
        <v/>
      </c>
      <c r="AF61" s="511" t="str">
        <f t="shared" si="42"/>
        <v>FAIL</v>
      </c>
      <c r="AG61" s="10">
        <v>22</v>
      </c>
      <c r="AH61" s="21" t="str">
        <f t="shared" si="43"/>
        <v xml:space="preserve">  </v>
      </c>
      <c r="AI61" s="21" t="str">
        <f>IF(OR('Whole Building ccASHP Worksheet'!X41="",'Whole Building ccASHP Worksheet'!X41="None"),IF($I61="  ","","Baseline "&amp;INDEX(References!$W$4:$W$44,MATCH($I61,References!$T$4:$T$44,0))),"Existing "&amp;'Whole Building ccASHP Worksheet'!X41)</f>
        <v/>
      </c>
      <c r="AJ61" s="21" t="str">
        <f>IF(OR('Whole Building ccASHP Worksheet'!Y41="",'Whole Building ccASHP Worksheet'!Y41="None"),IF($I61="  ","","Baseline "&amp;INDEX(References!$W$4:$W$44,MATCH($I61,References!$T$4:$T$44,0))),"Existing "&amp;'Whole Building ccASHP Worksheet'!Y41)</f>
        <v/>
      </c>
      <c r="AK61" s="342" t="str">
        <f>_xlfn.IFNA(IF(OR('Whole Building ccASHP Worksheet'!AB41=0,'Whole Building ccASHP Worksheet'!AB41=""),IF(LEFT(I61,3)="pac",0,INDEX(References!$BL$5:$BL$45,MATCH(I61,References!$AY$5:$AY$45,0))),'Whole Building ccASHP Worksheet'!AB41),"")</f>
        <v/>
      </c>
      <c r="AL61" s="343" t="str">
        <f>IF(I61="  ","",IF('Whole Building ccASHP Worksheet'!AC41="",IF(LEFT(I61,3)="Pac",(INDEX(References!$BM$4:$BM$44,MATCH(I61,References!$AY$4:$AY$44,0)))-(0.3*J61*12000/1000),INDEX(References!$BM$4:$BM$44,MATCH(I61,References!$AY$4:$AY$44,0))),'Whole Building ccASHP Worksheet'!AC41))</f>
        <v/>
      </c>
      <c r="AM61" s="343" t="str">
        <f>IF(I61="  ","",IF(OR($AJ61="Existing Gas",$AJ61="Existing Oil",$AJ61="Existing Propane"),0,IF(AND('Whole Building ccASHP Worksheet'!AD41=0,'Whole Building ccASHP Worksheet'!AE41=0),IF(LEFT(I61,3)="pac",0,INDEX(References!$BN$5:$BN$44,MATCH(I61,References!$AY$5:$AY$44,0))),IF(AND('Whole Building ccASHP Worksheet'!AD41=0,'Whole Building ccASHP Worksheet'!AE41&gt;0),'Whole Building ccASHP Worksheet'!AE41*References!$B$49,'Whole Building ccASHP Worksheet'!AD41))))</f>
        <v/>
      </c>
      <c r="AN61" s="343" t="str">
        <f>IF($I61="  ","",IF(OR($AJ61="Existing Gas",$AJ61="Existing Oil",$AJ61="Existing Propane"),0,IF(OR('Whole Building ccASHP Worksheet'!AE41="",'Whole Building ccASHP Worksheet'!AE41=0),IF(LEFT(I61,3)="Pac",(INDEX(References!$BN$5:$BN$44,MATCH(I61,References!$AY$5:$AY$44,0)))-INDEX(References!$BO$5:$BO$44,MATCH(I61,References!$AY$5:$AY$44,0))*J61*12000/1000,INDEX(References!$BO$5:$BO$44,MATCH(I61,References!$AY$5:$AY$44,0))),'Whole Building ccASHP Worksheet'!AE41)))</f>
        <v/>
      </c>
      <c r="AO61" s="521" t="str">
        <f>IF($I61="  ","",IF(OR($AJ61="Existing Gas",$AJ61="Existing Oil",$AJ61="Existing Propane"),IF(OR('Whole Building ccASHP Worksheet'!AF41="",'Whole Building ccASHP Worksheet'!AF41=0),INDEX(References!$E$136:$E$139,MATCH(AJ61,References!$D$136:$D$139,0)),'Whole Building ccASHP Worksheet'!AF41),0))</f>
        <v/>
      </c>
      <c r="AP61" s="349">
        <f>IF(OR('Whole Building ccASHP Worksheet'!$B$15="Integrated/Modulating Control",'Whole Building ccASHP Worksheet'!$B$15="No Fossil Fuel Heating"),IF(K61&gt;=AB61,1,0.9),0.9)</f>
        <v>0.9</v>
      </c>
      <c r="AQ61" s="521" t="str">
        <f>IF(C61="","",INDEX(References!$M$56:$M$66,MATCH(C61&amp;" "&amp;'Whole Building ccASHP Worksheet'!$B$15&amp;" "&amp;AP61,References!$L$56:$L$66,0)))</f>
        <v/>
      </c>
      <c r="AR61" s="521" t="str">
        <f>IF(C61="","",INDEX(References!$N$56:$N$66,MATCH(C61&amp;" "&amp;'Whole Building ccASHP Worksheet'!$B$15&amp;" "&amp;AP61,References!$L$56:$L$66,0)))</f>
        <v/>
      </c>
      <c r="AS61" s="521" t="str">
        <f>IF(C61="","",INDEX(References!$O$56:$O$66,MATCH(C61&amp;" "&amp;'Whole Building ccASHP Worksheet'!$B$15&amp;" "&amp;AP61,References!$L$56:$L$66,0)))</f>
        <v/>
      </c>
      <c r="AT61" s="521" t="str">
        <f>IF(C61="","",INDEX(References!$P$56:$P$66,MATCH(C61&amp;" "&amp;'Whole Building ccASHP Worksheet'!$B$15&amp;" "&amp;AP61,References!$L$56:$L$66,0)))</f>
        <v/>
      </c>
      <c r="AU61" s="521" t="str">
        <f>IF(C61="","",INDEX(References!$Q$56:$Q$66,MATCH(C61&amp;" "&amp;'Whole Building ccASHP Worksheet'!$B$15&amp;" "&amp;AP61,References!$L$56:$L$66,0)))</f>
        <v/>
      </c>
      <c r="AV61" s="521" t="str">
        <f>IF(C61="","",INDEX(References!$R$56:$R$66,MATCH(C61&amp;" "&amp;'Whole Building ccASHP Worksheet'!$B$15&amp;" "&amp;AP61,References!$L$56:$L$66,0)))</f>
        <v/>
      </c>
      <c r="AW61" s="521" t="str">
        <f>IF(C61="","",INDEX(References!$S$56:$S$66,MATCH(C61&amp;" "&amp;'Whole Building ccASHP Worksheet'!$B$15&amp;" "&amp;AP61,References!$L$56:$L$66,0)))</f>
        <v/>
      </c>
      <c r="AX61" s="521" t="str">
        <f>IF(AM61="","",IF(AM61&lt;8.5,References!$M$69,References!$M$70))</f>
        <v/>
      </c>
      <c r="AY61" s="521" t="str">
        <f t="shared" si="44"/>
        <v/>
      </c>
      <c r="AZ61" s="521" t="str">
        <f t="shared" si="45"/>
        <v/>
      </c>
      <c r="BA61" s="521" t="str">
        <f t="shared" si="46"/>
        <v/>
      </c>
      <c r="BB61" s="212" t="str">
        <f>IF(AF61="FAIL","",IF(AND(AL61&gt;0,M61&gt;0),ROUND((AA61/1000)*((1/AL61)-(1/M61)),References!$B$40),0))</f>
        <v/>
      </c>
      <c r="BC61" s="308" t="str">
        <f>IF(AF61="FAIL","",IF(AND(AM61&gt;0,N61&gt;0),ROUND((AB61/1000)*((1/(AM61/3.412))-(1/(N61/3.412))),References!$B$40),ROUND((AB61/1000)*-(1/(N61/3.412)),References!$B$40)))</f>
        <v/>
      </c>
      <c r="BD61" s="308" t="str">
        <f>IF(AF61="FAIL","",IF(AND(AK61=0,AL61=0),0,IF(AK61&gt;0,ROUND((AA61/1000)*((1/AK61)-(1/AY61))*Y61*AV61,References!$B$43),ROUND((AA61/1000)*((1/AL61)-(1/AY61))*Y61*AV61,References!$B$43))))</f>
        <v/>
      </c>
      <c r="BE61" s="308" t="str">
        <f>IF(BD61="","",BD61*References!$B$29)</f>
        <v/>
      </c>
      <c r="BF61" s="308" t="str">
        <f t="shared" si="47"/>
        <v/>
      </c>
      <c r="BG61" s="308" t="str">
        <f>IF(AF61="FAIL","",IF(AND(AZ61&gt;0,BA61&gt;0),ROUND((AB61/1000)*((1/BA61)-(1/AZ61))*Z61*AW61/3.413,References!$B$43),0))</f>
        <v/>
      </c>
      <c r="BH61" s="308" t="str">
        <f>IF(AF61="FAIL","",IF(AND(OR($AJ61="Existing Gas",$AJ61="Existing Oil",$AJ61="Existing Propane"),RIGHT(C61,10)="Heat Pumps"),IF(AND(AZ61&gt;0,AZ61&lt;&gt;""),ROUND(((AB61/1000)*((1/AZ61))*Z61*AW61/3.412),References!$B$43),0),0))</f>
        <v/>
      </c>
      <c r="BI61" s="308" t="str">
        <f>IF(AF61="FAIL","",(BG61*References!$B$29)-(BH61*References!$B$29))</f>
        <v/>
      </c>
      <c r="BJ61" s="308" t="str">
        <f t="shared" si="48"/>
        <v/>
      </c>
      <c r="BK61" s="308" t="str">
        <f t="shared" si="49"/>
        <v/>
      </c>
      <c r="BL61" s="343" t="str">
        <f t="shared" si="50"/>
        <v/>
      </c>
      <c r="BM61" s="343" t="str">
        <f t="shared" si="51"/>
        <v/>
      </c>
      <c r="BN61" s="343" t="str">
        <f t="shared" si="52"/>
        <v/>
      </c>
      <c r="BO61" s="649" t="str">
        <f t="shared" si="53"/>
        <v/>
      </c>
      <c r="BP61" s="649" t="str">
        <f t="shared" si="54"/>
        <v/>
      </c>
      <c r="BQ61" s="650" t="str">
        <f t="shared" si="55"/>
        <v/>
      </c>
      <c r="BR61" s="343" t="str">
        <f t="shared" si="56"/>
        <v/>
      </c>
      <c r="BS61" s="558">
        <f t="shared" si="57"/>
        <v>0</v>
      </c>
      <c r="BT61" s="566" t="e">
        <f t="shared" si="58"/>
        <v>#VALUE!</v>
      </c>
      <c r="BU61" s="526">
        <f t="shared" si="59"/>
        <v>0</v>
      </c>
      <c r="BX61" s="565" t="str">
        <f t="shared" si="33"/>
        <v xml:space="preserve">   All Other</v>
      </c>
      <c r="BY61" s="89" t="str">
        <f>IF(AF61="Fail","",INDEX(References!$AH$4:$AH$86,MATCH(Calculations!BX61,References!$AG$4:$AG$86,0)))</f>
        <v/>
      </c>
      <c r="BZ61" s="89" t="str">
        <f>IF(AF61="FAIL","",BL61*References!$B$21+IF(BM61&gt;0,BM61*References!$B$25,0))</f>
        <v/>
      </c>
      <c r="CA61" s="89" t="str">
        <f>IF(AF61="FAIL","",IF(BM61&gt;0,0,BM61)*References!$B$25+BF61*INDEX(References!$F$136:$F$142,MATCH(IF(LEFT(AJ61,8)="Baseline",LEFT(AJ61,8),AJ61),References!$D$136:$D$142,0)))</f>
        <v/>
      </c>
      <c r="CB61" s="89">
        <f>IF(BY61="",0,ROUND(INDEX(References!$E$118:$E$132,MATCH('Whole Building ccASHP Worksheet'!B41,References!$D$118:$D$132,0))*BB61,References!$B$40))</f>
        <v>0</v>
      </c>
    </row>
    <row r="62" spans="2:80" x14ac:dyDescent="0.3">
      <c r="B62" s="11">
        <v>23</v>
      </c>
      <c r="C62" s="15" t="str">
        <f>IF('Whole Building ccASHP Worksheet'!B42="","",'Whole Building ccASHP Worksheet'!B42)</f>
        <v/>
      </c>
      <c r="D62" s="13" t="str">
        <f>IF('Whole Building ccASHP Worksheet'!C42="","",'Whole Building ccASHP Worksheet'!C42)</f>
        <v/>
      </c>
      <c r="E62" s="13" t="str">
        <f>IF('Whole Building ccASHP Worksheet'!E42="","",'Whole Building ccASHP Worksheet'!E42)</f>
        <v/>
      </c>
      <c r="F62" s="13" t="str">
        <f>IF('Whole Building ccASHP Worksheet'!X42="","",'Whole Building ccASHP Worksheet'!X42)</f>
        <v/>
      </c>
      <c r="G62" s="13" t="str">
        <f>IF('Whole Building ccASHP Worksheet'!Y42="","",'Whole Building ccASHP Worksheet'!Y42)</f>
        <v/>
      </c>
      <c r="H62" s="565" t="str">
        <f t="shared" si="34"/>
        <v xml:space="preserve"> All Other</v>
      </c>
      <c r="I62" s="511" t="str">
        <f t="shared" si="28"/>
        <v xml:space="preserve">  </v>
      </c>
      <c r="J62" s="15" t="str">
        <f>IF('Whole Building ccASHP Worksheet'!I42="","",'Whole Building ccASHP Worksheet'!I42)</f>
        <v/>
      </c>
      <c r="K62" s="14" t="str">
        <f>IF('Whole Building ccASHP Worksheet'!J42="","",'Whole Building ccASHP Worksheet'!J42)</f>
        <v/>
      </c>
      <c r="L62" s="15" t="str">
        <f>IF('Whole Building ccASHP Worksheet'!K42="","",'Whole Building ccASHP Worksheet'!K42)</f>
        <v/>
      </c>
      <c r="M62" s="13" t="str">
        <f>IF('Whole Building ccASHP Worksheet'!L42="","",'Whole Building ccASHP Worksheet'!L42)</f>
        <v/>
      </c>
      <c r="N62" s="13" t="str">
        <f>IF('Whole Building ccASHP Worksheet'!M42="","",'Whole Building ccASHP Worksheet'!M42)</f>
        <v/>
      </c>
      <c r="O62" s="13" t="str">
        <f>IF('Whole Building ccASHP Worksheet'!N42="","",'Whole Building ccASHP Worksheet'!N42)</f>
        <v/>
      </c>
      <c r="P62" s="15" t="str">
        <f t="shared" si="29"/>
        <v/>
      </c>
      <c r="Q62" s="13" t="str">
        <f t="shared" si="30"/>
        <v/>
      </c>
      <c r="R62" s="13" t="str">
        <f t="shared" si="31"/>
        <v/>
      </c>
      <c r="S62" s="13" t="str">
        <f t="shared" si="32"/>
        <v/>
      </c>
      <c r="T62" s="15" t="str">
        <f t="shared" si="35"/>
        <v/>
      </c>
      <c r="U62" s="13" t="str">
        <f t="shared" si="36"/>
        <v/>
      </c>
      <c r="V62" s="13" t="str">
        <f t="shared" si="37"/>
        <v/>
      </c>
      <c r="W62" s="13" t="str">
        <f t="shared" si="38"/>
        <v/>
      </c>
      <c r="X62" s="15" t="str">
        <f>'Whole Building ccASHP Worksheet'!BuildingType</f>
        <v>Select …</v>
      </c>
      <c r="Y62" s="530" t="e">
        <f>IF(OR(X62="",X62="… please select …"),0,INDEX(References!$H$22:$H$43,MATCH(X62,References!$G$22:$G$43,0)))</f>
        <v>#N/A</v>
      </c>
      <c r="Z62" s="61" t="e">
        <f>IF(OR(X62="",X62="… please select …"),0,INDEX(References!$I$22:$I$43,MATCH(X62,References!$G$22:$G$43,0)))</f>
        <v>#N/A</v>
      </c>
      <c r="AA62" s="15" t="str">
        <f>IF(OR('Whole Building ccASHP Worksheet'!P42="",'Whole Building ccASHP Worksheet'!P42=0),"",'Whole Building ccASHP Worksheet'!P42)</f>
        <v/>
      </c>
      <c r="AB62" s="13" t="str">
        <f>IF(OR('Whole Building ccASHP Worksheet'!Q42="",'Whole Building ccASHP Worksheet'!Q42=0),"",'Whole Building ccASHP Worksheet'!Q42)</f>
        <v/>
      </c>
      <c r="AC62" s="530" t="str">
        <f t="shared" si="39"/>
        <v/>
      </c>
      <c r="AD62" s="530" t="str">
        <f t="shared" si="40"/>
        <v/>
      </c>
      <c r="AE62" s="61" t="str">
        <f t="shared" si="41"/>
        <v/>
      </c>
      <c r="AF62" s="511" t="str">
        <f t="shared" si="42"/>
        <v>FAIL</v>
      </c>
      <c r="AG62" s="10">
        <v>23</v>
      </c>
      <c r="AH62" s="21" t="str">
        <f t="shared" si="43"/>
        <v xml:space="preserve">  </v>
      </c>
      <c r="AI62" s="21" t="str">
        <f>IF(OR('Whole Building ccASHP Worksheet'!X42="",'Whole Building ccASHP Worksheet'!X42="None"),IF($I62="  ","","Baseline "&amp;INDEX(References!$W$4:$W$44,MATCH($I62,References!$T$4:$T$44,0))),"Existing "&amp;'Whole Building ccASHP Worksheet'!X42)</f>
        <v/>
      </c>
      <c r="AJ62" s="21" t="str">
        <f>IF(OR('Whole Building ccASHP Worksheet'!Y42="",'Whole Building ccASHP Worksheet'!Y42="None"),IF($I62="  ","","Baseline "&amp;INDEX(References!$W$4:$W$44,MATCH($I62,References!$T$4:$T$44,0))),"Existing "&amp;'Whole Building ccASHP Worksheet'!Y42)</f>
        <v/>
      </c>
      <c r="AK62" s="342" t="str">
        <f>_xlfn.IFNA(IF(OR('Whole Building ccASHP Worksheet'!AB42=0,'Whole Building ccASHP Worksheet'!AB42=""),IF(LEFT(I62,3)="pac",0,INDEX(References!$BL$5:$BL$45,MATCH(I62,References!$AY$5:$AY$45,0))),'Whole Building ccASHP Worksheet'!AB42),"")</f>
        <v/>
      </c>
      <c r="AL62" s="343" t="str">
        <f>IF(I62="  ","",IF('Whole Building ccASHP Worksheet'!AC42="",IF(LEFT(I62,3)="Pac",(INDEX(References!$BM$4:$BM$44,MATCH(I62,References!$AY$4:$AY$44,0)))-(0.3*J62*12000/1000),INDEX(References!$BM$4:$BM$44,MATCH(I62,References!$AY$4:$AY$44,0))),'Whole Building ccASHP Worksheet'!AC42))</f>
        <v/>
      </c>
      <c r="AM62" s="343" t="str">
        <f>IF(I62="  ","",IF(OR($AJ62="Existing Gas",$AJ62="Existing Oil",$AJ62="Existing Propane"),0,IF(AND('Whole Building ccASHP Worksheet'!AD42=0,'Whole Building ccASHP Worksheet'!AE42=0),IF(LEFT(I62,3)="pac",0,INDEX(References!$BN$5:$BN$44,MATCH(I62,References!$AY$5:$AY$44,0))),IF(AND('Whole Building ccASHP Worksheet'!AD42=0,'Whole Building ccASHP Worksheet'!AE42&gt;0),'Whole Building ccASHP Worksheet'!AE42*References!$B$49,'Whole Building ccASHP Worksheet'!AD42))))</f>
        <v/>
      </c>
      <c r="AN62" s="343" t="str">
        <f>IF($I62="  ","",IF(OR($AJ62="Existing Gas",$AJ62="Existing Oil",$AJ62="Existing Propane"),0,IF(OR('Whole Building ccASHP Worksheet'!AE42="",'Whole Building ccASHP Worksheet'!AE42=0),IF(LEFT(I62,3)="Pac",(INDEX(References!$BN$5:$BN$44,MATCH(I62,References!$AY$5:$AY$44,0)))-INDEX(References!$BO$5:$BO$44,MATCH(I62,References!$AY$5:$AY$44,0))*J62*12000/1000,INDEX(References!$BO$5:$BO$44,MATCH(I62,References!$AY$5:$AY$44,0))),'Whole Building ccASHP Worksheet'!AE42)))</f>
        <v/>
      </c>
      <c r="AO62" s="521" t="str">
        <f>IF($I62="  ","",IF(OR($AJ62="Existing Gas",$AJ62="Existing Oil",$AJ62="Existing Propane"),IF(OR('Whole Building ccASHP Worksheet'!AF42="",'Whole Building ccASHP Worksheet'!AF42=0),INDEX(References!$E$136:$E$139,MATCH(AJ62,References!$D$136:$D$139,0)),'Whole Building ccASHP Worksheet'!AF42),0))</f>
        <v/>
      </c>
      <c r="AP62" s="349">
        <f>IF(OR('Whole Building ccASHP Worksheet'!$B$15="Integrated/Modulating Control",'Whole Building ccASHP Worksheet'!$B$15="No Fossil Fuel Heating"),IF(K62&gt;=AB62,1,0.9),0.9)</f>
        <v>0.9</v>
      </c>
      <c r="AQ62" s="521" t="str">
        <f>IF(C62="","",INDEX(References!$M$56:$M$66,MATCH(C62&amp;" "&amp;'Whole Building ccASHP Worksheet'!$B$15&amp;" "&amp;AP62,References!$L$56:$L$66,0)))</f>
        <v/>
      </c>
      <c r="AR62" s="521" t="str">
        <f>IF(C62="","",INDEX(References!$N$56:$N$66,MATCH(C62&amp;" "&amp;'Whole Building ccASHP Worksheet'!$B$15&amp;" "&amp;AP62,References!$L$56:$L$66,0)))</f>
        <v/>
      </c>
      <c r="AS62" s="521" t="str">
        <f>IF(C62="","",INDEX(References!$O$56:$O$66,MATCH(C62&amp;" "&amp;'Whole Building ccASHP Worksheet'!$B$15&amp;" "&amp;AP62,References!$L$56:$L$66,0)))</f>
        <v/>
      </c>
      <c r="AT62" s="521" t="str">
        <f>IF(C62="","",INDEX(References!$P$56:$P$66,MATCH(C62&amp;" "&amp;'Whole Building ccASHP Worksheet'!$B$15&amp;" "&amp;AP62,References!$L$56:$L$66,0)))</f>
        <v/>
      </c>
      <c r="AU62" s="521" t="str">
        <f>IF(C62="","",INDEX(References!$Q$56:$Q$66,MATCH(C62&amp;" "&amp;'Whole Building ccASHP Worksheet'!$B$15&amp;" "&amp;AP62,References!$L$56:$L$66,0)))</f>
        <v/>
      </c>
      <c r="AV62" s="521" t="str">
        <f>IF(C62="","",INDEX(References!$R$56:$R$66,MATCH(C62&amp;" "&amp;'Whole Building ccASHP Worksheet'!$B$15&amp;" "&amp;AP62,References!$L$56:$L$66,0)))</f>
        <v/>
      </c>
      <c r="AW62" s="521" t="str">
        <f>IF(C62="","",INDEX(References!$S$56:$S$66,MATCH(C62&amp;" "&amp;'Whole Building ccASHP Worksheet'!$B$15&amp;" "&amp;AP62,References!$L$56:$L$66,0)))</f>
        <v/>
      </c>
      <c r="AX62" s="521" t="str">
        <f>IF(AM62="","",IF(AM62&lt;8.5,References!$M$69,References!$M$70))</f>
        <v/>
      </c>
      <c r="AY62" s="521" t="str">
        <f t="shared" si="44"/>
        <v/>
      </c>
      <c r="AZ62" s="521" t="str">
        <f t="shared" si="45"/>
        <v/>
      </c>
      <c r="BA62" s="521" t="str">
        <f t="shared" si="46"/>
        <v/>
      </c>
      <c r="BB62" s="212" t="str">
        <f>IF(AF62="FAIL","",IF(AND(AL62&gt;0,M62&gt;0),ROUND((AA62/1000)*((1/AL62)-(1/M62)),References!$B$40),0))</f>
        <v/>
      </c>
      <c r="BC62" s="308" t="str">
        <f>IF(AF62="FAIL","",IF(AND(AM62&gt;0,N62&gt;0),ROUND((AB62/1000)*((1/(AM62/3.412))-(1/(N62/3.412))),References!$B$40),ROUND((AB62/1000)*-(1/(N62/3.412)),References!$B$40)))</f>
        <v/>
      </c>
      <c r="BD62" s="308" t="str">
        <f>IF(AF62="FAIL","",IF(AND(AK62=0,AL62=0),0,IF(AK62&gt;0,ROUND((AA62/1000)*((1/AK62)-(1/AY62))*Y62*AV62,References!$B$43),ROUND((AA62/1000)*((1/AL62)-(1/AY62))*Y62*AV62,References!$B$43))))</f>
        <v/>
      </c>
      <c r="BE62" s="308" t="str">
        <f>IF(BD62="","",BD62*References!$B$29)</f>
        <v/>
      </c>
      <c r="BF62" s="308" t="str">
        <f t="shared" si="47"/>
        <v/>
      </c>
      <c r="BG62" s="308" t="str">
        <f>IF(AF62="FAIL","",IF(AND(AZ62&gt;0,BA62&gt;0),ROUND((AB62/1000)*((1/BA62)-(1/AZ62))*Z62*AW62/3.413,References!$B$43),0))</f>
        <v/>
      </c>
      <c r="BH62" s="308" t="str">
        <f>IF(AF62="FAIL","",IF(AND(OR($AJ62="Existing Gas",$AJ62="Existing Oil",$AJ62="Existing Propane"),RIGHT(C62,10)="Heat Pumps"),IF(AND(AZ62&gt;0,AZ62&lt;&gt;""),ROUND(((AB62/1000)*((1/AZ62))*Z62*AW62/3.412),References!$B$43),0),0))</f>
        <v/>
      </c>
      <c r="BI62" s="308" t="str">
        <f>IF(AF62="FAIL","",(BG62*References!$B$29)-(BH62*References!$B$29))</f>
        <v/>
      </c>
      <c r="BJ62" s="308" t="str">
        <f t="shared" si="48"/>
        <v/>
      </c>
      <c r="BK62" s="308" t="str">
        <f t="shared" si="49"/>
        <v/>
      </c>
      <c r="BL62" s="343" t="str">
        <f t="shared" si="50"/>
        <v/>
      </c>
      <c r="BM62" s="343" t="str">
        <f t="shared" si="51"/>
        <v/>
      </c>
      <c r="BN62" s="343" t="str">
        <f t="shared" si="52"/>
        <v/>
      </c>
      <c r="BO62" s="649" t="str">
        <f t="shared" si="53"/>
        <v/>
      </c>
      <c r="BP62" s="649" t="str">
        <f t="shared" si="54"/>
        <v/>
      </c>
      <c r="BQ62" s="650" t="str">
        <f t="shared" si="55"/>
        <v/>
      </c>
      <c r="BR62" s="343" t="str">
        <f t="shared" si="56"/>
        <v/>
      </c>
      <c r="BS62" s="558">
        <f t="shared" si="57"/>
        <v>0</v>
      </c>
      <c r="BT62" s="566" t="e">
        <f t="shared" si="58"/>
        <v>#VALUE!</v>
      </c>
      <c r="BU62" s="526">
        <f t="shared" si="59"/>
        <v>0</v>
      </c>
      <c r="BX62" s="565" t="str">
        <f t="shared" si="33"/>
        <v xml:space="preserve">   All Other</v>
      </c>
      <c r="BY62" s="89" t="str">
        <f>IF(AF62="Fail","",INDEX(References!$AH$4:$AH$86,MATCH(Calculations!BX62,References!$AG$4:$AG$86,0)))</f>
        <v/>
      </c>
      <c r="BZ62" s="89" t="str">
        <f>IF(AF62="FAIL","",BL62*References!$B$21+IF(BM62&gt;0,BM62*References!$B$25,0))</f>
        <v/>
      </c>
      <c r="CA62" s="89" t="str">
        <f>IF(AF62="FAIL","",IF(BM62&gt;0,0,BM62)*References!$B$25+BF62*INDEX(References!$F$136:$F$142,MATCH(IF(LEFT(AJ62,8)="Baseline",LEFT(AJ62,8),AJ62),References!$D$136:$D$142,0)))</f>
        <v/>
      </c>
      <c r="CB62" s="89">
        <f>IF(BY62="",0,ROUND(INDEX(References!$E$118:$E$132,MATCH('Whole Building ccASHP Worksheet'!B42,References!$D$118:$D$132,0))*BB62,References!$B$40))</f>
        <v>0</v>
      </c>
    </row>
    <row r="63" spans="2:80" x14ac:dyDescent="0.3">
      <c r="B63" s="11">
        <v>24</v>
      </c>
      <c r="C63" s="15" t="str">
        <f>IF('Whole Building ccASHP Worksheet'!B43="","",'Whole Building ccASHP Worksheet'!B43)</f>
        <v/>
      </c>
      <c r="D63" s="13" t="str">
        <f>IF('Whole Building ccASHP Worksheet'!C43="","",'Whole Building ccASHP Worksheet'!C43)</f>
        <v/>
      </c>
      <c r="E63" s="13" t="str">
        <f>IF('Whole Building ccASHP Worksheet'!E43="","",'Whole Building ccASHP Worksheet'!E43)</f>
        <v/>
      </c>
      <c r="F63" s="13" t="str">
        <f>IF('Whole Building ccASHP Worksheet'!X43="","",'Whole Building ccASHP Worksheet'!X43)</f>
        <v/>
      </c>
      <c r="G63" s="13" t="str">
        <f>IF('Whole Building ccASHP Worksheet'!Y43="","",'Whole Building ccASHP Worksheet'!Y43)</f>
        <v/>
      </c>
      <c r="H63" s="565" t="str">
        <f t="shared" si="34"/>
        <v xml:space="preserve"> All Other</v>
      </c>
      <c r="I63" s="511" t="str">
        <f t="shared" si="28"/>
        <v xml:space="preserve">  </v>
      </c>
      <c r="J63" s="15" t="str">
        <f>IF('Whole Building ccASHP Worksheet'!I43="","",'Whole Building ccASHP Worksheet'!I43)</f>
        <v/>
      </c>
      <c r="K63" s="14" t="str">
        <f>IF('Whole Building ccASHP Worksheet'!J43="","",'Whole Building ccASHP Worksheet'!J43)</f>
        <v/>
      </c>
      <c r="L63" s="15" t="str">
        <f>IF('Whole Building ccASHP Worksheet'!K43="","",'Whole Building ccASHP Worksheet'!K43)</f>
        <v/>
      </c>
      <c r="M63" s="13" t="str">
        <f>IF('Whole Building ccASHP Worksheet'!L43="","",'Whole Building ccASHP Worksheet'!L43)</f>
        <v/>
      </c>
      <c r="N63" s="13" t="str">
        <f>IF('Whole Building ccASHP Worksheet'!M43="","",'Whole Building ccASHP Worksheet'!M43)</f>
        <v/>
      </c>
      <c r="O63" s="13" t="str">
        <f>IF('Whole Building ccASHP Worksheet'!N43="","",'Whole Building ccASHP Worksheet'!N43)</f>
        <v/>
      </c>
      <c r="P63" s="15" t="str">
        <f t="shared" si="29"/>
        <v/>
      </c>
      <c r="Q63" s="13" t="str">
        <f t="shared" si="30"/>
        <v/>
      </c>
      <c r="R63" s="13" t="str">
        <f t="shared" si="31"/>
        <v/>
      </c>
      <c r="S63" s="13" t="str">
        <f t="shared" si="32"/>
        <v/>
      </c>
      <c r="T63" s="15" t="str">
        <f t="shared" si="35"/>
        <v/>
      </c>
      <c r="U63" s="13" t="str">
        <f t="shared" si="36"/>
        <v/>
      </c>
      <c r="V63" s="13" t="str">
        <f t="shared" si="37"/>
        <v/>
      </c>
      <c r="W63" s="13" t="str">
        <f t="shared" si="38"/>
        <v/>
      </c>
      <c r="X63" s="15" t="str">
        <f>'Whole Building ccASHP Worksheet'!BuildingType</f>
        <v>Select …</v>
      </c>
      <c r="Y63" s="530" t="e">
        <f>IF(OR(X63="",X63="… please select …"),0,INDEX(References!$H$22:$H$43,MATCH(X63,References!$G$22:$G$43,0)))</f>
        <v>#N/A</v>
      </c>
      <c r="Z63" s="61" t="e">
        <f>IF(OR(X63="",X63="… please select …"),0,INDEX(References!$I$22:$I$43,MATCH(X63,References!$G$22:$G$43,0)))</f>
        <v>#N/A</v>
      </c>
      <c r="AA63" s="15" t="str">
        <f>IF(OR('Whole Building ccASHP Worksheet'!P43="",'Whole Building ccASHP Worksheet'!P43=0),"",'Whole Building ccASHP Worksheet'!P43)</f>
        <v/>
      </c>
      <c r="AB63" s="13" t="str">
        <f>IF(OR('Whole Building ccASHP Worksheet'!Q43="",'Whole Building ccASHP Worksheet'!Q43=0),"",'Whole Building ccASHP Worksheet'!Q43)</f>
        <v/>
      </c>
      <c r="AC63" s="530" t="str">
        <f t="shared" si="39"/>
        <v/>
      </c>
      <c r="AD63" s="530" t="str">
        <f t="shared" si="40"/>
        <v/>
      </c>
      <c r="AE63" s="61" t="str">
        <f t="shared" si="41"/>
        <v/>
      </c>
      <c r="AF63" s="511" t="str">
        <f t="shared" si="42"/>
        <v>FAIL</v>
      </c>
      <c r="AG63" s="10">
        <v>24</v>
      </c>
      <c r="AH63" s="21" t="str">
        <f t="shared" si="43"/>
        <v xml:space="preserve">  </v>
      </c>
      <c r="AI63" s="21" t="str">
        <f>IF(OR('Whole Building ccASHP Worksheet'!X43="",'Whole Building ccASHP Worksheet'!X43="None"),IF($I63="  ","","Baseline "&amp;INDEX(References!$W$4:$W$44,MATCH($I63,References!$T$4:$T$44,0))),"Existing "&amp;'Whole Building ccASHP Worksheet'!X43)</f>
        <v/>
      </c>
      <c r="AJ63" s="21" t="str">
        <f>IF(OR('Whole Building ccASHP Worksheet'!Y43="",'Whole Building ccASHP Worksheet'!Y43="None"),IF($I63="  ","","Baseline "&amp;INDEX(References!$W$4:$W$44,MATCH($I63,References!$T$4:$T$44,0))),"Existing "&amp;'Whole Building ccASHP Worksheet'!Y43)</f>
        <v/>
      </c>
      <c r="AK63" s="342" t="str">
        <f>_xlfn.IFNA(IF(OR('Whole Building ccASHP Worksheet'!AB43=0,'Whole Building ccASHP Worksheet'!AB43=""),IF(LEFT(I63,3)="pac",0,INDEX(References!$BL$5:$BL$45,MATCH(I63,References!$AY$5:$AY$45,0))),'Whole Building ccASHP Worksheet'!AB43),"")</f>
        <v/>
      </c>
      <c r="AL63" s="343" t="str">
        <f>IF(I63="  ","",IF('Whole Building ccASHP Worksheet'!AC43="",IF(LEFT(I63,3)="Pac",(INDEX(References!$BM$4:$BM$44,MATCH(I63,References!$AY$4:$AY$44,0)))-(0.3*J63*12000/1000),INDEX(References!$BM$4:$BM$44,MATCH(I63,References!$AY$4:$AY$44,0))),'Whole Building ccASHP Worksheet'!AC43))</f>
        <v/>
      </c>
      <c r="AM63" s="343" t="str">
        <f>IF(I63="  ","",IF(OR($AJ63="Existing Gas",$AJ63="Existing Oil",$AJ63="Existing Propane"),0,IF(AND('Whole Building ccASHP Worksheet'!AD43=0,'Whole Building ccASHP Worksheet'!AE43=0),IF(LEFT(I63,3)="pac",0,INDEX(References!$BN$5:$BN$44,MATCH(I63,References!$AY$5:$AY$44,0))),IF(AND('Whole Building ccASHP Worksheet'!AD43=0,'Whole Building ccASHP Worksheet'!AE43&gt;0),'Whole Building ccASHP Worksheet'!AE43*References!$B$49,'Whole Building ccASHP Worksheet'!AD43))))</f>
        <v/>
      </c>
      <c r="AN63" s="343" t="str">
        <f>IF($I63="  ","",IF(OR($AJ63="Existing Gas",$AJ63="Existing Oil",$AJ63="Existing Propane"),0,IF(OR('Whole Building ccASHP Worksheet'!AE43="",'Whole Building ccASHP Worksheet'!AE43=0),IF(LEFT(I63,3)="Pac",(INDEX(References!$BN$5:$BN$44,MATCH(I63,References!$AY$5:$AY$44,0)))-INDEX(References!$BO$5:$BO$44,MATCH(I63,References!$AY$5:$AY$44,0))*J63*12000/1000,INDEX(References!$BO$5:$BO$44,MATCH(I63,References!$AY$5:$AY$44,0))),'Whole Building ccASHP Worksheet'!AE43)))</f>
        <v/>
      </c>
      <c r="AO63" s="521" t="str">
        <f>IF($I63="  ","",IF(OR($AJ63="Existing Gas",$AJ63="Existing Oil",$AJ63="Existing Propane"),IF(OR('Whole Building ccASHP Worksheet'!AF43="",'Whole Building ccASHP Worksheet'!AF43=0),INDEX(References!$E$136:$E$139,MATCH(AJ63,References!$D$136:$D$139,0)),'Whole Building ccASHP Worksheet'!AF43),0))</f>
        <v/>
      </c>
      <c r="AP63" s="349">
        <f>IF(OR('Whole Building ccASHP Worksheet'!$B$15="Integrated/Modulating Control",'Whole Building ccASHP Worksheet'!$B$15="No Fossil Fuel Heating"),IF(K63&gt;=AB63,1,0.9),0.9)</f>
        <v>0.9</v>
      </c>
      <c r="AQ63" s="521" t="str">
        <f>IF(C63="","",INDEX(References!$M$56:$M$66,MATCH(C63&amp;" "&amp;'Whole Building ccASHP Worksheet'!$B$15&amp;" "&amp;AP63,References!$L$56:$L$66,0)))</f>
        <v/>
      </c>
      <c r="AR63" s="521" t="str">
        <f>IF(C63="","",INDEX(References!$N$56:$N$66,MATCH(C63&amp;" "&amp;'Whole Building ccASHP Worksheet'!$B$15&amp;" "&amp;AP63,References!$L$56:$L$66,0)))</f>
        <v/>
      </c>
      <c r="AS63" s="521" t="str">
        <f>IF(C63="","",INDEX(References!$O$56:$O$66,MATCH(C63&amp;" "&amp;'Whole Building ccASHP Worksheet'!$B$15&amp;" "&amp;AP63,References!$L$56:$L$66,0)))</f>
        <v/>
      </c>
      <c r="AT63" s="521" t="str">
        <f>IF(C63="","",INDEX(References!$P$56:$P$66,MATCH(C63&amp;" "&amp;'Whole Building ccASHP Worksheet'!$B$15&amp;" "&amp;AP63,References!$L$56:$L$66,0)))</f>
        <v/>
      </c>
      <c r="AU63" s="521" t="str">
        <f>IF(C63="","",INDEX(References!$Q$56:$Q$66,MATCH(C63&amp;" "&amp;'Whole Building ccASHP Worksheet'!$B$15&amp;" "&amp;AP63,References!$L$56:$L$66,0)))</f>
        <v/>
      </c>
      <c r="AV63" s="521" t="str">
        <f>IF(C63="","",INDEX(References!$R$56:$R$66,MATCH(C63&amp;" "&amp;'Whole Building ccASHP Worksheet'!$B$15&amp;" "&amp;AP63,References!$L$56:$L$66,0)))</f>
        <v/>
      </c>
      <c r="AW63" s="521" t="str">
        <f>IF(C63="","",INDEX(References!$S$56:$S$66,MATCH(C63&amp;" "&amp;'Whole Building ccASHP Worksheet'!$B$15&amp;" "&amp;AP63,References!$L$56:$L$66,0)))</f>
        <v/>
      </c>
      <c r="AX63" s="521" t="str">
        <f>IF(AM63="","",IF(AM63&lt;8.5,References!$M$69,References!$M$70))</f>
        <v/>
      </c>
      <c r="AY63" s="521" t="str">
        <f t="shared" si="44"/>
        <v/>
      </c>
      <c r="AZ63" s="521" t="str">
        <f t="shared" si="45"/>
        <v/>
      </c>
      <c r="BA63" s="521" t="str">
        <f t="shared" si="46"/>
        <v/>
      </c>
      <c r="BB63" s="212" t="str">
        <f>IF(AF63="FAIL","",IF(AND(AL63&gt;0,M63&gt;0),ROUND((AA63/1000)*((1/AL63)-(1/M63)),References!$B$40),0))</f>
        <v/>
      </c>
      <c r="BC63" s="308" t="str">
        <f>IF(AF63="FAIL","",IF(AND(AM63&gt;0,N63&gt;0),ROUND((AB63/1000)*((1/(AM63/3.412))-(1/(N63/3.412))),References!$B$40),ROUND((AB63/1000)*-(1/(N63/3.412)),References!$B$40)))</f>
        <v/>
      </c>
      <c r="BD63" s="308" t="str">
        <f>IF(AF63="FAIL","",IF(AND(AK63=0,AL63=0),0,IF(AK63&gt;0,ROUND((AA63/1000)*((1/AK63)-(1/AY63))*Y63*AV63,References!$B$43),ROUND((AA63/1000)*((1/AL63)-(1/AY63))*Y63*AV63,References!$B$43))))</f>
        <v/>
      </c>
      <c r="BE63" s="308" t="str">
        <f>IF(BD63="","",BD63*References!$B$29)</f>
        <v/>
      </c>
      <c r="BF63" s="308" t="str">
        <f t="shared" si="47"/>
        <v/>
      </c>
      <c r="BG63" s="308" t="str">
        <f>IF(AF63="FAIL","",IF(AND(AZ63&gt;0,BA63&gt;0),ROUND((AB63/1000)*((1/BA63)-(1/AZ63))*Z63*AW63/3.413,References!$B$43),0))</f>
        <v/>
      </c>
      <c r="BH63" s="308" t="str">
        <f>IF(AF63="FAIL","",IF(AND(OR($AJ63="Existing Gas",$AJ63="Existing Oil",$AJ63="Existing Propane"),RIGHT(C63,10)="Heat Pumps"),IF(AND(AZ63&gt;0,AZ63&lt;&gt;""),ROUND(((AB63/1000)*((1/AZ63))*Z63*AW63/3.412),References!$B$43),0),0))</f>
        <v/>
      </c>
      <c r="BI63" s="308" t="str">
        <f>IF(AF63="FAIL","",(BG63*References!$B$29)-(BH63*References!$B$29))</f>
        <v/>
      </c>
      <c r="BJ63" s="308" t="str">
        <f t="shared" si="48"/>
        <v/>
      </c>
      <c r="BK63" s="308" t="str">
        <f t="shared" si="49"/>
        <v/>
      </c>
      <c r="BL63" s="343" t="str">
        <f t="shared" si="50"/>
        <v/>
      </c>
      <c r="BM63" s="343" t="str">
        <f t="shared" si="51"/>
        <v/>
      </c>
      <c r="BN63" s="343" t="str">
        <f t="shared" si="52"/>
        <v/>
      </c>
      <c r="BO63" s="649" t="str">
        <f t="shared" si="53"/>
        <v/>
      </c>
      <c r="BP63" s="649" t="str">
        <f t="shared" si="54"/>
        <v/>
      </c>
      <c r="BQ63" s="650" t="str">
        <f t="shared" si="55"/>
        <v/>
      </c>
      <c r="BR63" s="343" t="str">
        <f t="shared" si="56"/>
        <v/>
      </c>
      <c r="BS63" s="558">
        <f t="shared" si="57"/>
        <v>0</v>
      </c>
      <c r="BT63" s="566" t="e">
        <f t="shared" si="58"/>
        <v>#VALUE!</v>
      </c>
      <c r="BU63" s="526">
        <f t="shared" si="59"/>
        <v>0</v>
      </c>
      <c r="BX63" s="565" t="str">
        <f t="shared" si="33"/>
        <v xml:space="preserve">   All Other</v>
      </c>
      <c r="BY63" s="89" t="str">
        <f>IF(AF63="Fail","",INDEX(References!$AH$4:$AH$86,MATCH(Calculations!BX63,References!$AG$4:$AG$86,0)))</f>
        <v/>
      </c>
      <c r="BZ63" s="89" t="str">
        <f>IF(AF63="FAIL","",BL63*References!$B$21+IF(BM63&gt;0,BM63*References!$B$25,0))</f>
        <v/>
      </c>
      <c r="CA63" s="89" t="str">
        <f>IF(AF63="FAIL","",IF(BM63&gt;0,0,BM63)*References!$B$25+BF63*INDEX(References!$F$136:$F$142,MATCH(IF(LEFT(AJ63,8)="Baseline",LEFT(AJ63,8),AJ63),References!$D$136:$D$142,0)))</f>
        <v/>
      </c>
      <c r="CB63" s="89">
        <f>IF(BY63="",0,ROUND(INDEX(References!$E$118:$E$132,MATCH('Whole Building ccASHP Worksheet'!B43,References!$D$118:$D$132,0))*BB63,References!$B$40))</f>
        <v>0</v>
      </c>
    </row>
    <row r="64" spans="2:80" x14ac:dyDescent="0.3">
      <c r="B64" s="11">
        <v>25</v>
      </c>
      <c r="C64" s="15" t="str">
        <f>IF('Whole Building ccASHP Worksheet'!B44="","",'Whole Building ccASHP Worksheet'!B44)</f>
        <v/>
      </c>
      <c r="D64" s="13" t="str">
        <f>IF('Whole Building ccASHP Worksheet'!C44="","",'Whole Building ccASHP Worksheet'!C44)</f>
        <v/>
      </c>
      <c r="E64" s="13" t="str">
        <f>IF('Whole Building ccASHP Worksheet'!E44="","",'Whole Building ccASHP Worksheet'!E44)</f>
        <v/>
      </c>
      <c r="F64" s="13" t="str">
        <f>IF('Whole Building ccASHP Worksheet'!X44="","",'Whole Building ccASHP Worksheet'!X44)</f>
        <v/>
      </c>
      <c r="G64" s="13" t="str">
        <f>IF('Whole Building ccASHP Worksheet'!Y44="","",'Whole Building ccASHP Worksheet'!Y44)</f>
        <v/>
      </c>
      <c r="H64" s="565" t="str">
        <f t="shared" si="34"/>
        <v xml:space="preserve"> All Other</v>
      </c>
      <c r="I64" s="511" t="str">
        <f>C64&amp;" "&amp;D64&amp;" "&amp;E64</f>
        <v xml:space="preserve">  </v>
      </c>
      <c r="J64" s="15" t="str">
        <f>IF('Whole Building ccASHP Worksheet'!I44="","",'Whole Building ccASHP Worksheet'!I44)</f>
        <v/>
      </c>
      <c r="K64" s="14" t="str">
        <f>IF('Whole Building ccASHP Worksheet'!J44="","",'Whole Building ccASHP Worksheet'!J44)</f>
        <v/>
      </c>
      <c r="L64" s="15" t="str">
        <f>IF('Whole Building ccASHP Worksheet'!K44="","",'Whole Building ccASHP Worksheet'!K44)</f>
        <v/>
      </c>
      <c r="M64" s="13" t="str">
        <f>IF('Whole Building ccASHP Worksheet'!L44="","",'Whole Building ccASHP Worksheet'!L44)</f>
        <v/>
      </c>
      <c r="N64" s="13" t="str">
        <f>IF('Whole Building ccASHP Worksheet'!M44="","",'Whole Building ccASHP Worksheet'!M44)</f>
        <v/>
      </c>
      <c r="O64" s="13" t="str">
        <f>IF('Whole Building ccASHP Worksheet'!N44="","",'Whole Building ccASHP Worksheet'!N44)</f>
        <v/>
      </c>
      <c r="P64" s="15" t="str">
        <f>IF(I64="  ","",VLOOKUP(I64,HVAC_T1T2ReferenceTable,2,FALSE))</f>
        <v/>
      </c>
      <c r="Q64" s="13" t="str">
        <f t="shared" si="30"/>
        <v/>
      </c>
      <c r="R64" s="13" t="str">
        <f t="shared" si="31"/>
        <v/>
      </c>
      <c r="S64" s="13" t="str">
        <f t="shared" si="32"/>
        <v/>
      </c>
      <c r="T64" s="15" t="str">
        <f>IF(AND(L64="",P64&lt;&gt;0),"",IF(L64&gt;=P64,"PASS","FAIL"))</f>
        <v/>
      </c>
      <c r="U64" s="13" t="str">
        <f>IF(AND(M64="",Q64&lt;&gt;0),"",IF(M64&gt;=Q64,"PASS","FAIL"))</f>
        <v/>
      </c>
      <c r="V64" s="13" t="str">
        <f>IF(AND(N64="",R64&lt;&gt;0),"",IF(N64&gt;=R64,"PASS","FAIL"))</f>
        <v/>
      </c>
      <c r="W64" s="13" t="str">
        <f>IF(AND(O64="",S64&lt;&gt;0),"",IF(O64&gt;=S64,"PASS","FAIL"))</f>
        <v/>
      </c>
      <c r="X64" s="15" t="str">
        <f>'Whole Building ccASHP Worksheet'!BuildingType</f>
        <v>Select …</v>
      </c>
      <c r="Y64" s="530" t="e">
        <f>IF(OR(X64="",X64="… please select …"),0,INDEX(References!$H$22:$H$43,MATCH(X64,References!$G$22:$G$43,0)))</f>
        <v>#N/A</v>
      </c>
      <c r="Z64" s="61" t="e">
        <f>IF(OR(X64="",X64="… please select …"),0,INDEX(References!$I$22:$I$43,MATCH(X64,References!$G$22:$G$43,0)))</f>
        <v>#N/A</v>
      </c>
      <c r="AA64" s="15" t="str">
        <f>IF(OR('Whole Building ccASHP Worksheet'!P44="",'Whole Building ccASHP Worksheet'!P44=0),"",'Whole Building ccASHP Worksheet'!P44)</f>
        <v/>
      </c>
      <c r="AB64" s="13" t="str">
        <f>IF(OR('Whole Building ccASHP Worksheet'!Q44="",'Whole Building ccASHP Worksheet'!Q44=0),"",'Whole Building ccASHP Worksheet'!Q44)</f>
        <v/>
      </c>
      <c r="AC64" s="530" t="str">
        <f t="shared" si="39"/>
        <v/>
      </c>
      <c r="AD64" s="530" t="str">
        <f t="shared" si="40"/>
        <v/>
      </c>
      <c r="AE64" s="61" t="str">
        <f>IF(OR(AA64="",AB64="",J64="",K64=""),"",IF(AND(K64&gt;=AC64,K64&lt;=AD64),"PASS","FAIL"))</f>
        <v/>
      </c>
      <c r="AF64" s="511" t="str">
        <f>IF(AND(T64="PASS",U64="PASS",V64="PASS",W64="PASS",AE64="PASS"),"PASS","FAIL")</f>
        <v>FAIL</v>
      </c>
      <c r="AG64" s="10">
        <v>25</v>
      </c>
      <c r="AH64" s="21" t="str">
        <f t="shared" si="43"/>
        <v xml:space="preserve">  </v>
      </c>
      <c r="AI64" s="21" t="str">
        <f>IF(OR('Whole Building ccASHP Worksheet'!X44="",'Whole Building ccASHP Worksheet'!X44="None"),IF($I64="  ","","Baseline "&amp;INDEX(References!$W$4:$W$44,MATCH($I64,References!$T$4:$T$44,0))),"Existing "&amp;'Whole Building ccASHP Worksheet'!X44)</f>
        <v/>
      </c>
      <c r="AJ64" s="21" t="str">
        <f>IF(OR('Whole Building ccASHP Worksheet'!Y44="",'Whole Building ccASHP Worksheet'!Y44="None"),IF($I64="  ","","Baseline "&amp;INDEX(References!$W$4:$W$44,MATCH($I64,References!$T$4:$T$44,0))),"Existing "&amp;'Whole Building ccASHP Worksheet'!Y44)</f>
        <v/>
      </c>
      <c r="AK64" s="342" t="str">
        <f>_xlfn.IFNA(IF(OR('Whole Building ccASHP Worksheet'!AB44=0,'Whole Building ccASHP Worksheet'!AB44=""),IF(LEFT(I64,3)="pac",0,INDEX(References!$BL$5:$BL$45,MATCH(I64,References!$AY$5:$AY$45,0))),'Whole Building ccASHP Worksheet'!AB44),"")</f>
        <v/>
      </c>
      <c r="AL64" s="343" t="str">
        <f>IF(I64="  ","",IF('Whole Building ccASHP Worksheet'!AC44="",IF(LEFT(I64,3)="Pac",(INDEX(References!$BM$4:$BM$44,MATCH(I64,References!$AY$4:$AY$44,0)))-(0.3*J64*12000/1000),INDEX(References!$BM$4:$BM$44,MATCH(I64,References!$AY$4:$AY$44,0))),'Whole Building ccASHP Worksheet'!AC44))</f>
        <v/>
      </c>
      <c r="AM64" s="343" t="str">
        <f>IF(I64="  ","",IF(OR($AJ64="Existing Gas",$AJ64="Existing Oil",$AJ64="Existing Propane"),0,IF(AND('Whole Building ccASHP Worksheet'!AD44=0,'Whole Building ccASHP Worksheet'!AE44=0),IF(LEFT(I64,3)="pac",0,INDEX(References!$BN$5:$BN$44,MATCH(I64,References!$AY$5:$AY$44,0))),IF(AND('Whole Building ccASHP Worksheet'!AD44=0,'Whole Building ccASHP Worksheet'!AE44&gt;0),'Whole Building ccASHP Worksheet'!AE44*References!$B$49,'Whole Building ccASHP Worksheet'!AD44))))</f>
        <v/>
      </c>
      <c r="AN64" s="343" t="str">
        <f>IF($I64="  ","",IF(OR($AJ64="Existing Gas",$AJ64="Existing Oil",$AJ64="Existing Propane"),0,IF(OR('Whole Building ccASHP Worksheet'!AE44="",'Whole Building ccASHP Worksheet'!AE44=0),IF(LEFT(I64,3)="Pac",(INDEX(References!$BN$5:$BN$44,MATCH(I64,References!$AY$5:$AY$44,0)))-INDEX(References!$BO$5:$BO$44,MATCH(I64,References!$AY$5:$AY$44,0))*J64*12000/1000,INDEX(References!$BO$5:$BO$44,MATCH(I64,References!$AY$5:$AY$44,0))),'Whole Building ccASHP Worksheet'!AE44)))</f>
        <v/>
      </c>
      <c r="AO64" s="521" t="str">
        <f>IF($I64="  ","",IF(OR($AJ64="Existing Gas",$AJ64="Existing Oil",$AJ64="Existing Propane"),IF(OR('Whole Building ccASHP Worksheet'!AF44="",'Whole Building ccASHP Worksheet'!AF44=0),INDEX(References!$E$136:$E$139,MATCH(AJ64,References!$D$136:$D$139,0)),'Whole Building ccASHP Worksheet'!AF44),0))</f>
        <v/>
      </c>
      <c r="AP64" s="349">
        <f>IF(OR('Whole Building ccASHP Worksheet'!$B$15="Integrated/Modulating Control",'Whole Building ccASHP Worksheet'!$B$15="No Fossil Fuel Heating"),IF(K64&gt;=AB64,1,0.9),0.9)</f>
        <v>0.9</v>
      </c>
      <c r="AQ64" s="521" t="str">
        <f>IF(C64="","",INDEX(References!$M$56:$M$66,MATCH(C64&amp;" "&amp;'Whole Building ccASHP Worksheet'!$B$15&amp;" "&amp;AP64,References!$L$56:$L$66,0)))</f>
        <v/>
      </c>
      <c r="AR64" s="521" t="str">
        <f>IF(C64="","",INDEX(References!$N$56:$N$66,MATCH(C64&amp;" "&amp;'Whole Building ccASHP Worksheet'!$B$15&amp;" "&amp;AP64,References!$L$56:$L$66,0)))</f>
        <v/>
      </c>
      <c r="AS64" s="521" t="str">
        <f>IF(C64="","",INDEX(References!$O$56:$O$66,MATCH(C64&amp;" "&amp;'Whole Building ccASHP Worksheet'!$B$15&amp;" "&amp;AP64,References!$L$56:$L$66,0)))</f>
        <v/>
      </c>
      <c r="AT64" s="521" t="str">
        <f>IF(C64="","",INDEX(References!$P$56:$P$66,MATCH(C64&amp;" "&amp;'Whole Building ccASHP Worksheet'!$B$15&amp;" "&amp;AP64,References!$L$56:$L$66,0)))</f>
        <v/>
      </c>
      <c r="AU64" s="521" t="str">
        <f>IF(C64="","",INDEX(References!$Q$56:$Q$66,MATCH(C64&amp;" "&amp;'Whole Building ccASHP Worksheet'!$B$15&amp;" "&amp;AP64,References!$L$56:$L$66,0)))</f>
        <v/>
      </c>
      <c r="AV64" s="521" t="str">
        <f>IF(C64="","",INDEX(References!$R$56:$R$66,MATCH(C64&amp;" "&amp;'Whole Building ccASHP Worksheet'!$B$15&amp;" "&amp;AP64,References!$L$56:$L$66,0)))</f>
        <v/>
      </c>
      <c r="AW64" s="521" t="str">
        <f>IF(C64="","",INDEX(References!$S$56:$S$66,MATCH(C64&amp;" "&amp;'Whole Building ccASHP Worksheet'!$B$15&amp;" "&amp;AP64,References!$L$56:$L$66,0)))</f>
        <v/>
      </c>
      <c r="AX64" s="521" t="str">
        <f>IF(AM64="","",IF(AM64&lt;8.5,References!$M$69,References!$M$70))</f>
        <v/>
      </c>
      <c r="AY64" s="521" t="str">
        <f t="shared" si="44"/>
        <v/>
      </c>
      <c r="AZ64" s="521" t="str">
        <f t="shared" si="45"/>
        <v/>
      </c>
      <c r="BA64" s="521" t="str">
        <f t="shared" si="46"/>
        <v/>
      </c>
      <c r="BB64" s="212" t="str">
        <f>IF(AF64="FAIL","",IF(AND(AL64&gt;0,M64&gt;0),ROUND((AA64/1000)*((1/AL64)-(1/M64)),References!$B$40),0))</f>
        <v/>
      </c>
      <c r="BC64" s="308" t="str">
        <f>IF(AF64="FAIL","",IF(AND(AM64&gt;0,N64&gt;0),ROUND((AB64/1000)*((1/(AM64/3.412))-(1/(N64/3.412))),References!$B$40),ROUND((AB64/1000)*-(1/(N64/3.412)),References!$B$40)))</f>
        <v/>
      </c>
      <c r="BD64" s="308" t="str">
        <f>IF(AF64="FAIL","",IF(AND(AK64=0,AL64=0),0,IF(AK64&gt;0,ROUND((AA64/1000)*((1/AK64)-(1/AY64))*Y64*AV64,References!$B$43),ROUND((AA64/1000)*((1/AL64)-(1/AY64))*Y64*AV64,References!$B$43))))</f>
        <v/>
      </c>
      <c r="BE64" s="308" t="str">
        <f>IF(BD64="","",BD64*References!$B$29)</f>
        <v/>
      </c>
      <c r="BF64" s="308" t="str">
        <f t="shared" si="47"/>
        <v/>
      </c>
      <c r="BG64" s="308" t="str">
        <f>IF(AF64="FAIL","",IF(AND(AZ64&gt;0,BA64&gt;0),ROUND((AB64/1000)*((1/BA64)-(1/AZ64))*Z64*AW64/3.413,References!$B$43),0))</f>
        <v/>
      </c>
      <c r="BH64" s="308" t="str">
        <f>IF(AF64="FAIL","",IF(AND(OR($AJ64="Existing Gas",$AJ64="Existing Oil",$AJ64="Existing Propane"),RIGHT(C64,10)="Heat Pumps"),IF(AND(AZ64&gt;0,AZ64&lt;&gt;""),ROUND(((AB64/1000)*((1/AZ64))*Z64*AW64/3.412),References!$B$43),0),0))</f>
        <v/>
      </c>
      <c r="BI64" s="308" t="str">
        <f>IF(AF64="FAIL","",(BG64*References!$B$29)-(BH64*References!$B$29))</f>
        <v/>
      </c>
      <c r="BJ64" s="308" t="str">
        <f t="shared" si="48"/>
        <v/>
      </c>
      <c r="BK64" s="308" t="str">
        <f t="shared" si="49"/>
        <v/>
      </c>
      <c r="BL64" s="343" t="str">
        <f t="shared" si="50"/>
        <v/>
      </c>
      <c r="BM64" s="343" t="str">
        <f t="shared" si="51"/>
        <v/>
      </c>
      <c r="BN64" s="343" t="str">
        <f t="shared" si="52"/>
        <v/>
      </c>
      <c r="BO64" s="649" t="str">
        <f t="shared" si="53"/>
        <v/>
      </c>
      <c r="BP64" s="649" t="str">
        <f t="shared" si="54"/>
        <v/>
      </c>
      <c r="BQ64" s="650" t="str">
        <f t="shared" si="55"/>
        <v/>
      </c>
      <c r="BR64" s="343" t="str">
        <f t="shared" si="56"/>
        <v/>
      </c>
      <c r="BS64" s="558">
        <f t="shared" si="57"/>
        <v>0</v>
      </c>
      <c r="BT64" s="566" t="e">
        <f t="shared" si="58"/>
        <v>#VALUE!</v>
      </c>
      <c r="BU64" s="526">
        <f t="shared" si="59"/>
        <v>0</v>
      </c>
      <c r="BX64" s="565" t="str">
        <f t="shared" si="33"/>
        <v xml:space="preserve">   All Other</v>
      </c>
      <c r="BY64" s="89" t="str">
        <f>IF(AF64="Fail","",INDEX(References!$AH$4:$AH$86,MATCH(Calculations!BX64,References!$AG$4:$AG$86,0)))</f>
        <v/>
      </c>
      <c r="BZ64" s="89" t="str">
        <f>IF(AF64="FAIL","",BL64*References!$B$21+IF(BM64&gt;0,BM64*References!$B$25,0))</f>
        <v/>
      </c>
      <c r="CA64" s="89" t="str">
        <f>IF(AF64="FAIL","",IF(BM64&gt;0,0,BM64)*References!$B$25+BF64*INDEX(References!$F$136:$F$142,MATCH(IF(LEFT(AJ64,8)="Baseline",LEFT(AJ64,8),AJ64),References!$D$136:$D$142,0)))</f>
        <v/>
      </c>
      <c r="CB64" s="89">
        <f>IF(BY64="",0,ROUND(INDEX(References!$E$118:$E$132,MATCH('Whole Building ccASHP Worksheet'!B44,References!$D$118:$D$132,0))*BB64,References!$B$40))</f>
        <v>0</v>
      </c>
    </row>
    <row r="67" spans="2:52" x14ac:dyDescent="0.3">
      <c r="C67" s="11" t="s">
        <v>2036</v>
      </c>
    </row>
    <row r="69" spans="2:52" ht="50.5" customHeight="1" x14ac:dyDescent="0.3">
      <c r="C69" s="240"/>
      <c r="D69" s="219"/>
      <c r="E69" s="512"/>
      <c r="F69" s="1161" t="s">
        <v>1987</v>
      </c>
      <c r="G69" s="1161" t="s">
        <v>1988</v>
      </c>
      <c r="H69" s="1161" t="s">
        <v>2099</v>
      </c>
      <c r="I69" s="1163" t="s">
        <v>45</v>
      </c>
      <c r="J69" s="1164"/>
      <c r="K69" s="1164"/>
      <c r="L69" s="1164"/>
      <c r="M69" s="1164"/>
      <c r="N69" s="1165"/>
      <c r="O69" s="1152" t="s">
        <v>2042</v>
      </c>
      <c r="P69" s="1166" t="s">
        <v>2041</v>
      </c>
      <c r="Q69" s="1166"/>
      <c r="R69" s="1166"/>
      <c r="S69" s="1151" t="s">
        <v>1363</v>
      </c>
      <c r="T69" s="1151"/>
      <c r="U69" s="1151"/>
      <c r="Y69" s="1153" t="s">
        <v>2071</v>
      </c>
      <c r="Z69" s="1154"/>
      <c r="AA69" s="1154"/>
      <c r="AB69" s="1154"/>
      <c r="AC69" s="1154"/>
      <c r="AD69" s="1154"/>
      <c r="AE69" s="1154"/>
      <c r="AF69" s="1154"/>
      <c r="AG69" s="1154"/>
      <c r="AH69" s="1154"/>
      <c r="AI69" s="1154"/>
      <c r="AJ69" s="1155"/>
      <c r="AK69" s="1156" t="s">
        <v>2073</v>
      </c>
      <c r="AL69" s="1157"/>
      <c r="AM69" s="1157"/>
      <c r="AN69" s="1157"/>
      <c r="AO69" s="1157"/>
      <c r="AP69" s="1157"/>
      <c r="AQ69" s="1157"/>
      <c r="AR69" s="1157"/>
      <c r="AS69" s="1157"/>
      <c r="AT69" s="1157"/>
      <c r="AU69" s="1157"/>
      <c r="AV69" s="1157"/>
      <c r="AW69" s="1158" t="s">
        <v>38</v>
      </c>
      <c r="AX69" s="1158"/>
      <c r="AY69" s="1158" t="s">
        <v>2152</v>
      </c>
      <c r="AZ69" s="1158"/>
    </row>
    <row r="70" spans="2:52" ht="34.5" customHeight="1" x14ac:dyDescent="0.3">
      <c r="C70" s="221" t="s">
        <v>184</v>
      </c>
      <c r="D70" s="222" t="s">
        <v>2039</v>
      </c>
      <c r="E70" s="238" t="s">
        <v>1986</v>
      </c>
      <c r="F70" s="1162"/>
      <c r="G70" s="1162"/>
      <c r="H70" s="1162"/>
      <c r="I70" s="684" t="s">
        <v>9</v>
      </c>
      <c r="J70" s="684" t="s">
        <v>1989</v>
      </c>
      <c r="K70" s="221" t="s">
        <v>24</v>
      </c>
      <c r="L70" s="222" t="s">
        <v>1993</v>
      </c>
      <c r="M70" s="222" t="s">
        <v>101</v>
      </c>
      <c r="N70" s="686" t="s">
        <v>2040</v>
      </c>
      <c r="O70" s="1152"/>
      <c r="P70" s="221" t="s">
        <v>927</v>
      </c>
      <c r="Q70" s="222" t="s">
        <v>101</v>
      </c>
      <c r="R70" s="686" t="s">
        <v>2040</v>
      </c>
      <c r="S70" s="221" t="s">
        <v>1364</v>
      </c>
      <c r="T70" s="222" t="s">
        <v>67</v>
      </c>
      <c r="U70" s="223" t="s">
        <v>145</v>
      </c>
      <c r="Y70" s="217" t="s">
        <v>2065</v>
      </c>
      <c r="Z70" s="689" t="s">
        <v>2072</v>
      </c>
      <c r="AA70" s="217" t="s">
        <v>101</v>
      </c>
      <c r="AB70" s="217" t="s">
        <v>927</v>
      </c>
      <c r="AC70" s="217" t="s">
        <v>2066</v>
      </c>
      <c r="AD70" s="217" t="s">
        <v>2068</v>
      </c>
      <c r="AE70" s="217" t="s">
        <v>2067</v>
      </c>
      <c r="AF70" s="217" t="s">
        <v>2069</v>
      </c>
      <c r="AG70" s="689" t="s">
        <v>2070</v>
      </c>
      <c r="AH70" s="689" t="s">
        <v>2076</v>
      </c>
      <c r="AI70" s="689" t="s">
        <v>1685</v>
      </c>
      <c r="AJ70" s="689" t="s">
        <v>1231</v>
      </c>
      <c r="AK70" s="753" t="s">
        <v>2065</v>
      </c>
      <c r="AL70" s="754" t="s">
        <v>2072</v>
      </c>
      <c r="AM70" s="753" t="s">
        <v>101</v>
      </c>
      <c r="AN70" s="753" t="s">
        <v>927</v>
      </c>
      <c r="AO70" s="753" t="s">
        <v>2066</v>
      </c>
      <c r="AP70" s="753" t="s">
        <v>2068</v>
      </c>
      <c r="AQ70" s="753" t="s">
        <v>2067</v>
      </c>
      <c r="AR70" s="753" t="s">
        <v>2069</v>
      </c>
      <c r="AS70" s="754" t="s">
        <v>2070</v>
      </c>
      <c r="AT70" s="754" t="s">
        <v>2076</v>
      </c>
      <c r="AU70" s="754" t="s">
        <v>1685</v>
      </c>
      <c r="AV70" s="754" t="s">
        <v>1231</v>
      </c>
      <c r="AW70" s="693" t="s">
        <v>2078</v>
      </c>
      <c r="AX70" s="693" t="s">
        <v>2079</v>
      </c>
      <c r="AY70" s="693" t="s">
        <v>2078</v>
      </c>
      <c r="AZ70" s="693" t="s">
        <v>2079</v>
      </c>
    </row>
    <row r="71" spans="2:52" ht="39" x14ac:dyDescent="0.3">
      <c r="B71" s="11" t="s">
        <v>2106</v>
      </c>
      <c r="C71" s="710" t="str">
        <f>IF(Ventilation!B19="","",Ventilation!B19)</f>
        <v>Heat Recovery Ventilator (HRV)</v>
      </c>
      <c r="D71" s="710">
        <f>IF(Ventilation!C19="","",Ventilation!C19)</f>
        <v>1000</v>
      </c>
      <c r="E71" s="710">
        <f>IF(Ventilation!E19="","",Ventilation!E19)</f>
        <v>0.7</v>
      </c>
      <c r="F71" s="710">
        <f>IF(Ventilation!F19="","",Ventilation!F19)</f>
        <v>0.55000000000000004</v>
      </c>
      <c r="G71" s="710">
        <f>IF(Ventilation!G19="","",Ventilation!G19)</f>
        <v>1</v>
      </c>
      <c r="H71" s="710" t="str">
        <f>IF(Ventilation!H19="","",Ventilation!H19)</f>
        <v>Mon - Fri 7AM-5PM</v>
      </c>
      <c r="I71" s="710" t="str">
        <f>IF(Ventilation!O19="","",Ventilation!O19)</f>
        <v>Air Conditioners - Air Cooled</v>
      </c>
      <c r="J71" s="710" t="str">
        <f>IF(Ventilation!P19="","",Ventilation!P19)</f>
        <v>Oil</v>
      </c>
      <c r="K71" s="710" t="str">
        <f>IF(Ventilation!Q19="","",Ventilation!Q19)</f>
        <v>≥ 11.25 &amp; &lt; 20 Tons</v>
      </c>
      <c r="L71" s="710">
        <f>IF(Ventilation!S19="","",Ventilation!S19)</f>
        <v>11</v>
      </c>
      <c r="M71" s="710" t="str">
        <f>IF(Ventilation!T19="","",Ventilation!T19)</f>
        <v/>
      </c>
      <c r="N71" s="710">
        <f>IF(Ventilation!U19="","",Ventilation!U19)</f>
        <v>0.8</v>
      </c>
      <c r="O71" s="711" t="str">
        <f>I71&amp;" "&amp;K71</f>
        <v>Air Conditioners - Air Cooled ≥ 11.25 &amp; &lt; 20 Tons</v>
      </c>
      <c r="P71" s="712" t="str">
        <f>IF(L71="",INDEX(Ventilation_IEERLookup,MATCH(Calculations!O71,References!$D$190:$D$201,0)),"")</f>
        <v/>
      </c>
      <c r="Q71" s="712" t="str">
        <f>IF(J71="Electric",IF(M71="",References!$E$187,M71),"")</f>
        <v/>
      </c>
      <c r="R71" s="712" t="str">
        <f>IF(N71&gt;0,"",IF(J71="Electric","",IF(J71="Oil",References!$E$185,References!E184)))</f>
        <v/>
      </c>
      <c r="S71" s="712" t="str">
        <f>H71</f>
        <v>Mon - Fri 7AM-5PM</v>
      </c>
      <c r="T71" s="713">
        <f>IF(OR(S71="",S71="… please select …"),0,INDEX(References!$H$170:$H$176,MATCH(S71,References!$G$170:$G$176,0)))</f>
        <v>890</v>
      </c>
      <c r="U71" s="713">
        <f>IF(OR(S71="",S71="… please select …"),0,INDEX(References!$I$170:$I$176,MATCH(S71,References!$G$170:$G$176,0)))</f>
        <v>1663</v>
      </c>
      <c r="Y71" s="714" t="str">
        <f>IF(C71="Energy Recovery Ventilator (ERV)",(D71*G71*References!$D$209*References!$D$208)/(References!$D$207*References!$E$165*References!$E$166),"")</f>
        <v/>
      </c>
      <c r="Z71" s="714">
        <f>IF(N71="",R71,N71)</f>
        <v>0.8</v>
      </c>
      <c r="AA71" s="714" t="str">
        <f>IF(M71="",Q71,M71)</f>
        <v/>
      </c>
      <c r="AB71" s="714">
        <f>IF(L71="",P71,L71)</f>
        <v>11</v>
      </c>
      <c r="AC71" s="714" t="e">
        <f>(((References!$D$204*Calculations!D71*Calculations!F71*(References!$E$159-References!$E$160))/(References!$D$210*Calculations!AB71))-Calculations!Y71)*Calculations!T71</f>
        <v>#VALUE!</v>
      </c>
      <c r="AD71" s="714" t="e">
        <f>AC71*References!$B$29</f>
        <v>#VALUE!</v>
      </c>
      <c r="AE71" s="714" t="str">
        <f>IF(AA71="","",(((References!$D$205*D71*E71*(References!$E$161-References!$E$162))/(References!$D$210*Calculations!AA$71))-Calculations!Y71)*Calculations!U71)</f>
        <v/>
      </c>
      <c r="AF71" s="714">
        <f>IFERROR(IF(Z71="",AE71*References!$B$29,((References!$D$205*Calculations!D71*Calculations!E71*(References!$E$161-References!$E$162))/(References!$D$206*Calculations!Z71))*Calculations!U71),0)</f>
        <v>26.401787999999996</v>
      </c>
      <c r="AG71" s="714">
        <f>IFERROR(IF(AE71="",AC71,(AC71+AE71)),0)</f>
        <v>0</v>
      </c>
      <c r="AH71" s="714">
        <f>IFERROR((((References!$D$204*Calculations!D71*Calculations!F71*(References!$E$159-References!$E$160))/(References!$D$210*Calculations!AB71))-Calculations!Y71)*References!$E$167,0)</f>
        <v>0</v>
      </c>
      <c r="AI71" s="714">
        <f>IFERROR(AD71+AF71,0)</f>
        <v>0</v>
      </c>
      <c r="AJ71" s="714"/>
      <c r="AK71" s="755">
        <f>IF(C71="Heat Recovery Ventilator (HRV)",(D71*G71*References!$D$209*References!$D$208)/(References!$D$207*References!$E$165*References!$E$166),"")</f>
        <v>0.25064055337249386</v>
      </c>
      <c r="AL71" s="755">
        <f t="shared" ref="AL71:AL81" si="60">IF(N71="",R71,N71)</f>
        <v>0.8</v>
      </c>
      <c r="AM71" s="755" t="str">
        <f t="shared" ref="AM71:AM81" si="61">IF(M71="",Q71,M71)</f>
        <v/>
      </c>
      <c r="AN71" s="755">
        <f t="shared" ref="AN71:AN81" si="62">IF(L71="",P71,L71)</f>
        <v>11</v>
      </c>
      <c r="AO71" s="755">
        <f>(((References!$D$205*Calculations!D71*Calculations!E71*(References!$E$163-References!$E$164))/(References!$D$210*Calculations!AN71))-Calculations!AK71)*Calculations!T71</f>
        <v>2.6371438621167327</v>
      </c>
      <c r="AP71" s="755">
        <f>AO71*References!$B$29</f>
        <v>8.9979348575422915E-3</v>
      </c>
      <c r="AQ71" s="755" t="str">
        <f>IF(AM71="","",(((References!$D$205*D71*E71*(References!$E$161-References!$E$162))/(References!$D$210*Calculations!AM$71))-Calculations!AK71)*Calculations!U71)</f>
        <v/>
      </c>
      <c r="AR71" s="755">
        <f>IF(AL71="",AQ71*References!$B$29,((References!$D$205*Calculations!D71*Calculations!E71*(References!$E$161-References!$E$162))/(References!$D$206*Calculations!AL71))*Calculations!U71)</f>
        <v>26.401787999999996</v>
      </c>
      <c r="AS71" s="755">
        <f>IFERROR(IF(AQ71="",AO71,(AO71+AQ71)),0)</f>
        <v>2.6371438621167327</v>
      </c>
      <c r="AT71" s="755">
        <f>IFERROR(((((References!$D$205*Calculations!D71*Calculations!E71*(References!$E$163-References!$E$164))/(References!D210*Calculations!AN71))-Calculations!AK71)*References!$E$167),0)</f>
        <v>2.370466392913917E-3</v>
      </c>
      <c r="AU71" s="755">
        <f>IFERROR(AP71+AR71,0)</f>
        <v>26.41078593485754</v>
      </c>
      <c r="AV71" s="755"/>
      <c r="AW71" s="715">
        <f>IFERROR(IF(AI71="","",(D71/100)*References!$E$213),0)</f>
        <v>700</v>
      </c>
      <c r="AX71" s="714">
        <f>IFERROR(IF(AU71=0,0,(D71/100)*References!$E$214),0)</f>
        <v>600</v>
      </c>
      <c r="AY71" s="715"/>
      <c r="AZ71" s="714"/>
    </row>
    <row r="72" spans="2:52" x14ac:dyDescent="0.3">
      <c r="B72" s="11">
        <v>1</v>
      </c>
      <c r="C72" s="15" t="str">
        <f>IF(Ventilation!B20="","",Ventilation!B20)</f>
        <v/>
      </c>
      <c r="D72" s="15" t="str">
        <f>IF(Ventilation!C20="","",Ventilation!C20)</f>
        <v/>
      </c>
      <c r="E72" s="15" t="str">
        <f>IF(Ventilation!E20="","",Ventilation!E20)</f>
        <v/>
      </c>
      <c r="F72" s="15" t="str">
        <f>IF(Ventilation!F20="","",Ventilation!F20)</f>
        <v/>
      </c>
      <c r="G72" s="15" t="str">
        <f>IF(Ventilation!G20="","",Ventilation!G20)</f>
        <v/>
      </c>
      <c r="H72" s="15" t="str">
        <f>IF(Ventilation!H20="","",Ventilation!H20)</f>
        <v/>
      </c>
      <c r="I72" s="15" t="str">
        <f>IF(Ventilation!O20="","",Ventilation!O20)</f>
        <v/>
      </c>
      <c r="J72" s="15" t="str">
        <f>IF(Ventilation!P20="","",Ventilation!P20)</f>
        <v/>
      </c>
      <c r="K72" s="15" t="str">
        <f>IF(Ventilation!Q20="","",Ventilation!Q20)</f>
        <v/>
      </c>
      <c r="L72" s="15" t="str">
        <f>IF(Ventilation!S20="","",Ventilation!S20)</f>
        <v/>
      </c>
      <c r="M72" s="15" t="str">
        <f>IF(Ventilation!T20="","",Ventilation!T20)</f>
        <v/>
      </c>
      <c r="N72" s="15" t="str">
        <f>IF(Ventilation!U20="","",Ventilation!U20)</f>
        <v/>
      </c>
      <c r="O72" s="687" t="str">
        <f t="shared" ref="O72:O81" si="63">I72&amp;" "&amp;K72</f>
        <v xml:space="preserve"> </v>
      </c>
      <c r="P72" s="511" t="str">
        <f>IF(C72="","",IF(L72="",INDEX(Ventilation_IEERLookup,MATCH(Calculations!O72,References!$D$190:$D$201,0),2),""))</f>
        <v/>
      </c>
      <c r="Q72" s="511" t="str">
        <f>IF(J72="Electric",IF(M72="",References!$E$187,M72),"")</f>
        <v/>
      </c>
      <c r="R72" s="511" t="str">
        <f>IF(C72="","",IF(N72="",IF(J72="Electric","",IF(J72="Oil",References!$E$185,References!$E$184)),""))</f>
        <v/>
      </c>
      <c r="S72" s="511" t="str">
        <f t="shared" ref="S72:S81" si="64">H72</f>
        <v/>
      </c>
      <c r="T72" s="685">
        <f>IF(OR(S72="",S72="… please select …"),0,INDEX(References!$H$170:$H$176,MATCH(S72,References!$G$170:$G$176,0)))</f>
        <v>0</v>
      </c>
      <c r="U72" s="685">
        <f>IF(OR(S72="",S72="… please select …"),0,INDEX(References!$I$170:$I$176,MATCH(S72,References!$G$170:$G$176,0)))</f>
        <v>0</v>
      </c>
      <c r="Y72" s="269" t="str">
        <f>IF(C72="Energy Recovery Ventilator (ERV)",(D72*G72*References!$D$209*References!$D$208)/(References!$D$207*References!$E$165*References!$E$166),"")</f>
        <v/>
      </c>
      <c r="Z72" s="269" t="str">
        <f t="shared" ref="Z72:Z81" si="65">IF(N72="",R72,N72)</f>
        <v/>
      </c>
      <c r="AA72" s="269" t="str">
        <f t="shared" ref="AA72:AA81" si="66">IF(M72="",Q72,M72)</f>
        <v/>
      </c>
      <c r="AB72" s="269" t="str">
        <f t="shared" ref="AB72:AB81" si="67">IF(L72="",P72,L72)</f>
        <v/>
      </c>
      <c r="AC72" s="269" t="e">
        <f>(((References!$D$204*Calculations!D72*Calculations!F72*(References!$E$159-References!$E$160))/(References!$D$210*Calculations!AB72))-Calculations!Y72)*Calculations!T72</f>
        <v>#VALUE!</v>
      </c>
      <c r="AD72" s="269" t="e">
        <f>AC72*References!$B$29</f>
        <v>#VALUE!</v>
      </c>
      <c r="AE72" s="269" t="str">
        <f>IF(AA72="","",(((References!$D$205*D72*E72*(References!$E$161-References!$E$162))/(References!$D$210*AA72))-Calculations!Y72)*Calculations!U72)</f>
        <v/>
      </c>
      <c r="AF72" s="718">
        <f>IFERROR(IF(J72="Electric",AE72*References!$B$29,((References!$D$205*Calculations!D72*Calculations!E72*(References!$E$161-References!$E$162))/(References!$D$206*Calculations!Z72))*Calculations!U72),0)</f>
        <v>0</v>
      </c>
      <c r="AG72" s="718">
        <f t="shared" ref="AG72:AG81" si="68">IFERROR(IF(AE72="",AC72,(AC72+AE72)),0)</f>
        <v>0</v>
      </c>
      <c r="AH72" s="718">
        <f>IFERROR((((References!$D$204*Calculations!D72*Calculations!F72*(References!$E$159-References!$E$160))/(References!$D$210*Calculations!AB72))-Calculations!Y72),0)</f>
        <v>0</v>
      </c>
      <c r="AI72" s="718">
        <f t="shared" ref="AI72:AI81" si="69">IFERROR(AD72+AF72,0)</f>
        <v>0</v>
      </c>
      <c r="AJ72" s="269">
        <f>IF(C72="",0,ROUND(References!$E$167*AH72,References!$B$40))</f>
        <v>0</v>
      </c>
      <c r="AK72" s="269" t="str">
        <f>IF(C72="Heat Recovery Ventilator (HRV)",(D72*G72*References!$D$209*References!$D$208)/(References!$D$207*References!$E$165*References!$E$166),"")</f>
        <v/>
      </c>
      <c r="AL72" s="269" t="str">
        <f t="shared" si="60"/>
        <v/>
      </c>
      <c r="AM72" s="269" t="str">
        <f t="shared" si="61"/>
        <v/>
      </c>
      <c r="AN72" s="269" t="str">
        <f t="shared" si="62"/>
        <v/>
      </c>
      <c r="AO72" s="269" t="e">
        <f>(((References!$D$205*Calculations!D72*Calculations!E72*(References!$E$163-References!$E$164))/(References!$D$210*Calculations!AN72))-Calculations!AK72)*Calculations!T72</f>
        <v>#VALUE!</v>
      </c>
      <c r="AP72" s="269" t="e">
        <f>AO72*References!$B$29</f>
        <v>#VALUE!</v>
      </c>
      <c r="AQ72" s="269" t="str">
        <f>IF(AM72="","",(((References!$D$205*D72*E72*(References!$E$161-References!$E$162))/(References!$D$210*Calculations!AM72))-Calculations!AK72)*Calculations!U72)</f>
        <v/>
      </c>
      <c r="AR72" s="269" t="e">
        <f>IF(AL72="",AQ72*References!$B$29,((References!$D$205*Calculations!D72*Calculations!E72*(References!$E$161-References!$E$162))/(References!$D$206*Calculations!AL72))*Calculations!U72)</f>
        <v>#VALUE!</v>
      </c>
      <c r="AS72" s="718">
        <f t="shared" ref="AS72:AS81" si="70">IFERROR(IF(AQ72="",AO72,(AO72+AQ72)),0)</f>
        <v>0</v>
      </c>
      <c r="AT72" s="718">
        <f>IFERROR(((((References!$D$205*Calculations!D72*Calculations!E72*(References!$E$163-References!$E$164))/(References!$D$210*Calculations!AN72))-Calculations!AK72)),0)</f>
        <v>0</v>
      </c>
      <c r="AU72" s="269">
        <f t="shared" ref="AU72:AU81" si="71">IFERROR(AP72+AR72,0)</f>
        <v>0</v>
      </c>
      <c r="AV72" s="269">
        <f>IF(C72="",0,ROUND(References!$E$167*AT72,References!$B$40))</f>
        <v>0</v>
      </c>
      <c r="AW72" s="695">
        <f>IFERROR(IF(AI72=0,0,(D72/100)*References!$E$213),0)</f>
        <v>0</v>
      </c>
      <c r="AX72" s="269">
        <f>IFERROR(IF(AU72=0,0,(D72/100)*References!$E$214),0)</f>
        <v>0</v>
      </c>
      <c r="AY72" s="695" t="e">
        <f>IF(AW72&gt;0.7*Ventilation!$M20,0.7*Ventilation!$M20,AW72)</f>
        <v>#VALUE!</v>
      </c>
      <c r="AZ72" s="695" t="e">
        <f>IF(AX72&gt;0.7*Ventilation!$M20,0.7*Ventilation!$M20,AX72)</f>
        <v>#VALUE!</v>
      </c>
    </row>
    <row r="73" spans="2:52" x14ac:dyDescent="0.3">
      <c r="B73" s="11">
        <v>2</v>
      </c>
      <c r="C73" s="15" t="str">
        <f>IF(Ventilation!B21="","",Ventilation!B21)</f>
        <v/>
      </c>
      <c r="D73" s="15" t="str">
        <f>IF(Ventilation!C21="","",Ventilation!C21)</f>
        <v/>
      </c>
      <c r="E73" s="15" t="str">
        <f>IF(Ventilation!E21="","",Ventilation!E21)</f>
        <v/>
      </c>
      <c r="F73" s="15" t="str">
        <f>IF(Ventilation!F21="","",Ventilation!F21)</f>
        <v/>
      </c>
      <c r="G73" s="15" t="str">
        <f>IF(Ventilation!G21="","",Ventilation!G21)</f>
        <v/>
      </c>
      <c r="H73" s="15" t="str">
        <f>IF(Ventilation!H21="","",Ventilation!H21)</f>
        <v/>
      </c>
      <c r="I73" s="15" t="str">
        <f>IF(Ventilation!O21="","",Ventilation!O21)</f>
        <v/>
      </c>
      <c r="J73" s="15" t="str">
        <f>IF(Ventilation!P21="","",Ventilation!P21)</f>
        <v/>
      </c>
      <c r="K73" s="15" t="str">
        <f>IF(Ventilation!Q21="","",Ventilation!Q21)</f>
        <v/>
      </c>
      <c r="L73" s="15" t="str">
        <f>IF(Ventilation!S21="","",Ventilation!S21)</f>
        <v/>
      </c>
      <c r="M73" s="15" t="str">
        <f>IF(Ventilation!T21="","",Ventilation!T21)</f>
        <v/>
      </c>
      <c r="N73" s="15" t="str">
        <f>IF(Ventilation!U21="","",Ventilation!U21)</f>
        <v/>
      </c>
      <c r="O73" s="687" t="str">
        <f t="shared" si="63"/>
        <v xml:space="preserve"> </v>
      </c>
      <c r="P73" s="511" t="str">
        <f>IF(C73="","",IF(L73="",INDEX(Ventilation_IEERLookup,MATCH(Calculations!O73,References!$D$190:$D$201,0),2),""))</f>
        <v/>
      </c>
      <c r="Q73" s="511" t="str">
        <f>IF(J73="Electric",IF(M73="",References!$E$187,M73),"")</f>
        <v/>
      </c>
      <c r="R73" s="511" t="str">
        <f>IF(C73="","",IF(N73="",IF(J73="Electric","",IF(J73="Oil",References!$E$185,References!$E$184)),""))</f>
        <v/>
      </c>
      <c r="S73" s="511" t="str">
        <f t="shared" si="64"/>
        <v/>
      </c>
      <c r="T73" s="685">
        <f>IF(OR(S73="",S73="… please select …"),0,INDEX(References!$H$170:$H$176,MATCH(S73,References!$G$170:$G$176,0)))</f>
        <v>0</v>
      </c>
      <c r="U73" s="685">
        <f>IF(OR(S73="",S73="… please select …"),0,INDEX(References!$I$170:$I$176,MATCH(S73,References!$G$170:$G$176,0)))</f>
        <v>0</v>
      </c>
      <c r="Y73" s="269" t="str">
        <f>IF(C73="Energy Recovery Ventilator (ERV)",(D73*G73*References!$D$209*References!$D$208)/(References!$D$207*References!$E$165*References!$E$166),"")</f>
        <v/>
      </c>
      <c r="Z73" s="269" t="str">
        <f t="shared" si="65"/>
        <v/>
      </c>
      <c r="AA73" s="269" t="str">
        <f t="shared" si="66"/>
        <v/>
      </c>
      <c r="AB73" s="269" t="str">
        <f t="shared" si="67"/>
        <v/>
      </c>
      <c r="AC73" s="269" t="e">
        <f>(((References!$D$204*Calculations!D73*Calculations!F73*(References!$E$159-References!$E$160))/(References!$D$210*Calculations!AB73))-Calculations!Y73)*Calculations!T73</f>
        <v>#VALUE!</v>
      </c>
      <c r="AD73" s="269" t="e">
        <f>AC73*References!$B$29</f>
        <v>#VALUE!</v>
      </c>
      <c r="AE73" s="269" t="str">
        <f>IF(AA73="","",(((References!$D$205*D73*E73*(References!$E$161-References!$E$162))/(References!$D$210*AA73))-Calculations!Y73)*Calculations!U73)</f>
        <v/>
      </c>
      <c r="AF73" s="718">
        <f>IFERROR(IF(J73="Electric",AE73*References!$B$29,((References!$D$205*Calculations!D73*Calculations!E73*(References!$E$161-References!$E$162))/(References!$D$206*Calculations!Z73))*Calculations!U73),0)</f>
        <v>0</v>
      </c>
      <c r="AG73" s="718">
        <f t="shared" si="68"/>
        <v>0</v>
      </c>
      <c r="AH73" s="718">
        <f>IFERROR((((References!$D$204*Calculations!D73*Calculations!F73*(References!$E$159-References!$E$160))/(References!$D$210*Calculations!AB73))-Calculations!Y73),0)</f>
        <v>0</v>
      </c>
      <c r="AI73" s="718">
        <f t="shared" si="69"/>
        <v>0</v>
      </c>
      <c r="AJ73" s="269">
        <f>IF(C73="",0,ROUND(References!$E$167*AH73,References!$B$40))</f>
        <v>0</v>
      </c>
      <c r="AK73" s="269" t="str">
        <f>IF(C73="Heat Recovery Ventilator (HRV)",(D73*G73*References!$D$209*References!$D$208)/(References!$D$207*References!$E$165*References!$E$166),"")</f>
        <v/>
      </c>
      <c r="AL73" s="269" t="str">
        <f t="shared" si="60"/>
        <v/>
      </c>
      <c r="AM73" s="269" t="str">
        <f t="shared" si="61"/>
        <v/>
      </c>
      <c r="AN73" s="269" t="str">
        <f t="shared" si="62"/>
        <v/>
      </c>
      <c r="AO73" s="269" t="e">
        <f>(((References!$D$205*Calculations!D73*Calculations!E73*(References!$E$163-References!$E$164))/(References!$D$210*Calculations!AN73))-Calculations!AK73)*Calculations!T73</f>
        <v>#VALUE!</v>
      </c>
      <c r="AP73" s="269" t="e">
        <f>AO73*References!$B$29</f>
        <v>#VALUE!</v>
      </c>
      <c r="AQ73" s="269" t="str">
        <f>IF(AM73="","",(((References!$D$205*D73*E73*(References!$E$161-References!$E$162))/(References!$D$210*Calculations!AM73))-Calculations!AK73)*Calculations!U73)</f>
        <v/>
      </c>
      <c r="AR73" s="269" t="e">
        <f>IF(AL73="",AQ73*References!$B$29,((References!$D$205*Calculations!D73*Calculations!E73*(References!$E$161-References!$E$162))/(References!$D$206*Calculations!AL73))*Calculations!U73)</f>
        <v>#VALUE!</v>
      </c>
      <c r="AS73" s="718">
        <f t="shared" si="70"/>
        <v>0</v>
      </c>
      <c r="AT73" s="718">
        <f>IFERROR(((((References!$D$205*Calculations!D73*Calculations!E73*(References!$E$163-References!$E$164))/(References!$D$210*Calculations!AN73))-Calculations!AK73)),0)</f>
        <v>0</v>
      </c>
      <c r="AU73" s="269">
        <f t="shared" si="71"/>
        <v>0</v>
      </c>
      <c r="AV73" s="269">
        <f>IF(C73="",0,ROUND(References!$E$167*AT73,References!$B$40))</f>
        <v>0</v>
      </c>
      <c r="AW73" s="695">
        <f>IFERROR(IF(AI73=0,0,(D73/100)*References!$E$213),0)</f>
        <v>0</v>
      </c>
      <c r="AX73" s="269">
        <f>IFERROR(IF(AU73=0,0,(D73/100)*References!$E$214),0)</f>
        <v>0</v>
      </c>
      <c r="AY73" s="695" t="e">
        <f>IF(AW73&gt;0.7*Ventilation!$M21,0.7*Ventilation!$M21,AW73)</f>
        <v>#VALUE!</v>
      </c>
      <c r="AZ73" s="695" t="e">
        <f>IF(AX73&gt;0.7*Ventilation!$M21,0.7*Ventilation!$M21,AX73)</f>
        <v>#VALUE!</v>
      </c>
    </row>
    <row r="74" spans="2:52" x14ac:dyDescent="0.3">
      <c r="B74" s="11">
        <v>3</v>
      </c>
      <c r="C74" s="15" t="str">
        <f>IF(Ventilation!B22="","",Ventilation!B22)</f>
        <v/>
      </c>
      <c r="D74" s="15" t="str">
        <f>IF(Ventilation!C22="","",Ventilation!C22)</f>
        <v/>
      </c>
      <c r="E74" s="15" t="str">
        <f>IF(Ventilation!E22="","",Ventilation!E22)</f>
        <v/>
      </c>
      <c r="F74" s="15" t="str">
        <f>IF(Ventilation!F22="","",Ventilation!F22)</f>
        <v/>
      </c>
      <c r="G74" s="15" t="str">
        <f>IF(Ventilation!G22="","",Ventilation!G22)</f>
        <v/>
      </c>
      <c r="H74" s="15" t="str">
        <f>IF(Ventilation!H22="","",Ventilation!H22)</f>
        <v/>
      </c>
      <c r="I74" s="15" t="str">
        <f>IF(Ventilation!O22="","",Ventilation!O22)</f>
        <v/>
      </c>
      <c r="J74" s="15" t="str">
        <f>IF(Ventilation!P22="","",Ventilation!P22)</f>
        <v/>
      </c>
      <c r="K74" s="15" t="str">
        <f>IF(Ventilation!Q22="","",Ventilation!Q22)</f>
        <v/>
      </c>
      <c r="L74" s="15" t="str">
        <f>IF(Ventilation!S22="","",Ventilation!S22)</f>
        <v/>
      </c>
      <c r="M74" s="15" t="str">
        <f>IF(Ventilation!T22="","",Ventilation!T22)</f>
        <v/>
      </c>
      <c r="N74" s="15" t="str">
        <f>IF(Ventilation!U22="","",Ventilation!U22)</f>
        <v/>
      </c>
      <c r="O74" s="687" t="str">
        <f t="shared" si="63"/>
        <v xml:space="preserve"> </v>
      </c>
      <c r="P74" s="511" t="str">
        <f>IF(C74="","",IF(L74="",INDEX(Ventilation_IEERLookup,MATCH(Calculations!O74,References!$D$190:$D$201,0),2),""))</f>
        <v/>
      </c>
      <c r="Q74" s="511" t="str">
        <f>IF(J74="Electric",IF(M74="",References!$E$187,M74),"")</f>
        <v/>
      </c>
      <c r="R74" s="511" t="str">
        <f>IF(C74="","",IF(N74="",IF(J74="Electric","",IF(J74="Oil",References!$E$185,References!$E$184)),""))</f>
        <v/>
      </c>
      <c r="S74" s="511" t="str">
        <f t="shared" si="64"/>
        <v/>
      </c>
      <c r="T74" s="685">
        <f>IF(OR(S74="",S74="… please select …"),0,INDEX(References!$H$170:$H$176,MATCH(S74,References!$G$170:$G$176,0)))</f>
        <v>0</v>
      </c>
      <c r="U74" s="685">
        <f>IF(OR(S74="",S74="… please select …"),0,INDEX(References!$I$170:$I$176,MATCH(S74,References!$G$170:$G$176,0)))</f>
        <v>0</v>
      </c>
      <c r="Y74" s="269" t="str">
        <f>IF(C74="Energy Recovery Ventilator (ERV)",(D74*G74*References!$D$209*References!$D$208)/(References!$D$207*References!$E$165*References!$E$166),"")</f>
        <v/>
      </c>
      <c r="Z74" s="269" t="str">
        <f t="shared" si="65"/>
        <v/>
      </c>
      <c r="AA74" s="269" t="str">
        <f t="shared" si="66"/>
        <v/>
      </c>
      <c r="AB74" s="269" t="str">
        <f t="shared" si="67"/>
        <v/>
      </c>
      <c r="AC74" s="269" t="e">
        <f>(((References!$D$204*Calculations!D74*Calculations!F74*(References!$E$159-References!$E$160))/(References!$D$210*Calculations!AB74))-Calculations!Y74)*Calculations!T74</f>
        <v>#VALUE!</v>
      </c>
      <c r="AD74" s="269" t="e">
        <f>AC74*References!$B$29</f>
        <v>#VALUE!</v>
      </c>
      <c r="AE74" s="269" t="str">
        <f>IF(AA74="","",(((References!$D$205*D74*E74*(References!$E$161-References!$E$162))/(References!$D$210*AA74))-Calculations!Y74)*Calculations!U74)</f>
        <v/>
      </c>
      <c r="AF74" s="718">
        <f>IFERROR(IF(J74="Electric",AE74*References!$B$29,((References!$D$205*Calculations!D74*Calculations!E74*(References!$E$161-References!$E$162))/(References!$D$206*Calculations!Z74))*Calculations!U74),0)</f>
        <v>0</v>
      </c>
      <c r="AG74" s="718">
        <f t="shared" si="68"/>
        <v>0</v>
      </c>
      <c r="AH74" s="718">
        <f>IFERROR((((References!$D$204*Calculations!D74*Calculations!F74*(References!$E$159-References!$E$160))/(References!$D$210*Calculations!AB74))-Calculations!Y74),0)</f>
        <v>0</v>
      </c>
      <c r="AI74" s="718">
        <f t="shared" si="69"/>
        <v>0</v>
      </c>
      <c r="AJ74" s="269">
        <f>IF(C74="",0,ROUND(References!$E$167*AH74,References!$B$40))</f>
        <v>0</v>
      </c>
      <c r="AK74" s="269" t="str">
        <f>IF(C74="Heat Recovery Ventilator (HRV)",(D74*G74*References!$D$209*References!$D$208)/(References!$D$207*References!$E$165*References!$E$166),"")</f>
        <v/>
      </c>
      <c r="AL74" s="269" t="str">
        <f t="shared" si="60"/>
        <v/>
      </c>
      <c r="AM74" s="269" t="str">
        <f t="shared" si="61"/>
        <v/>
      </c>
      <c r="AN74" s="269" t="str">
        <f t="shared" si="62"/>
        <v/>
      </c>
      <c r="AO74" s="269" t="e">
        <f>(((References!$D$205*Calculations!D74*Calculations!E74*(References!$E$163-References!$E$164))/(References!$D$210*Calculations!AN74))-Calculations!AK74)*Calculations!T74</f>
        <v>#VALUE!</v>
      </c>
      <c r="AP74" s="269" t="e">
        <f>AO74*References!$B$29</f>
        <v>#VALUE!</v>
      </c>
      <c r="AQ74" s="269" t="str">
        <f>IF(AM74="","",(((References!$D$205*D74*E74*(References!$E$161-References!$E$162))/(References!$D$210*Calculations!AM74))-Calculations!AK74)*Calculations!U74)</f>
        <v/>
      </c>
      <c r="AR74" s="269" t="e">
        <f>IF(AL74="",AQ74*References!$B$29,((References!$D$205*Calculations!D74*Calculations!E74*(References!$E$161-References!$E$162))/(References!$D$206*Calculations!AL74))*Calculations!U74)</f>
        <v>#VALUE!</v>
      </c>
      <c r="AS74" s="718">
        <f t="shared" si="70"/>
        <v>0</v>
      </c>
      <c r="AT74" s="718">
        <f>IFERROR(((((References!$D$205*Calculations!D74*Calculations!E74*(References!$E$163-References!$E$164))/(References!$D$210*Calculations!AN74))-Calculations!AK74)),0)</f>
        <v>0</v>
      </c>
      <c r="AU74" s="269">
        <f t="shared" si="71"/>
        <v>0</v>
      </c>
      <c r="AV74" s="269">
        <f>IF(C74="",0,ROUND(References!$E$167*AT74,References!$B$40))</f>
        <v>0</v>
      </c>
      <c r="AW74" s="695">
        <f>IFERROR(IF(AI74=0,0,(D74/100)*References!$E$213),0)</f>
        <v>0</v>
      </c>
      <c r="AX74" s="269">
        <f>IFERROR(IF(AU74=0,0,(D74/100)*References!$E$214),0)</f>
        <v>0</v>
      </c>
      <c r="AY74" s="695" t="e">
        <f>IF(AW74&gt;0.7*Ventilation!$M22,0.7*Ventilation!$M22,AW74)</f>
        <v>#VALUE!</v>
      </c>
      <c r="AZ74" s="695" t="e">
        <f>IF(AX74&gt;0.7*Ventilation!$M22,0.7*Ventilation!$M22,AX74)</f>
        <v>#VALUE!</v>
      </c>
    </row>
    <row r="75" spans="2:52" x14ac:dyDescent="0.3">
      <c r="B75" s="11">
        <v>4</v>
      </c>
      <c r="C75" s="15" t="str">
        <f>IF(Ventilation!B23="","",Ventilation!B23)</f>
        <v/>
      </c>
      <c r="D75" s="15" t="str">
        <f>IF(Ventilation!C23="","",Ventilation!C23)</f>
        <v/>
      </c>
      <c r="E75" s="15" t="str">
        <f>IF(Ventilation!E23="","",Ventilation!E23)</f>
        <v/>
      </c>
      <c r="F75" s="15" t="str">
        <f>IF(Ventilation!F23="","",Ventilation!F23)</f>
        <v/>
      </c>
      <c r="G75" s="15" t="str">
        <f>IF(Ventilation!G23="","",Ventilation!G23)</f>
        <v/>
      </c>
      <c r="H75" s="15" t="str">
        <f>IF(Ventilation!H23="","",Ventilation!H23)</f>
        <v/>
      </c>
      <c r="I75" s="15" t="str">
        <f>IF(Ventilation!O23="","",Ventilation!O23)</f>
        <v/>
      </c>
      <c r="J75" s="15" t="str">
        <f>IF(Ventilation!P23="","",Ventilation!P23)</f>
        <v/>
      </c>
      <c r="K75" s="15" t="str">
        <f>IF(Ventilation!Q23="","",Ventilation!Q23)</f>
        <v/>
      </c>
      <c r="L75" s="15" t="str">
        <f>IF(Ventilation!S23="","",Ventilation!S23)</f>
        <v/>
      </c>
      <c r="M75" s="15" t="str">
        <f>IF(Ventilation!T23="","",Ventilation!T23)</f>
        <v/>
      </c>
      <c r="N75" s="15" t="str">
        <f>IF(Ventilation!U23="","",Ventilation!U23)</f>
        <v/>
      </c>
      <c r="O75" s="687" t="str">
        <f t="shared" si="63"/>
        <v xml:space="preserve"> </v>
      </c>
      <c r="P75" s="511" t="str">
        <f>IF(C75="","",IF(L75="",INDEX(Ventilation_IEERLookup,MATCH(Calculations!O75,References!$D$190:$D$201,0),2),""))</f>
        <v/>
      </c>
      <c r="Q75" s="511" t="str">
        <f>IF(J75="Electric",IF(M75="",References!$E$187,M75),"")</f>
        <v/>
      </c>
      <c r="R75" s="511" t="str">
        <f>IF(C75="","",IF(N75="",IF(J75="Electric","",IF(J75="Oil",References!$E$185,References!$E$184)),""))</f>
        <v/>
      </c>
      <c r="S75" s="511" t="str">
        <f t="shared" si="64"/>
        <v/>
      </c>
      <c r="T75" s="685">
        <f>IF(OR(S75="",S75="… please select …"),0,INDEX(References!$H$170:$H$176,MATCH(S75,References!$G$170:$G$176,0)))</f>
        <v>0</v>
      </c>
      <c r="U75" s="685">
        <f>IF(OR(S75="",S75="… please select …"),0,INDEX(References!$I$170:$I$176,MATCH(S75,References!$G$170:$G$176,0)))</f>
        <v>0</v>
      </c>
      <c r="Y75" s="269" t="str">
        <f>IF(C75="Energy Recovery Ventilator (ERV)",(D75*G75*References!$D$209*References!$D$208)/(References!$D$207*References!$E$165*References!$E$166),"")</f>
        <v/>
      </c>
      <c r="Z75" s="269" t="str">
        <f t="shared" si="65"/>
        <v/>
      </c>
      <c r="AA75" s="269" t="str">
        <f t="shared" si="66"/>
        <v/>
      </c>
      <c r="AB75" s="269" t="str">
        <f t="shared" si="67"/>
        <v/>
      </c>
      <c r="AC75" s="269" t="e">
        <f>(((References!$D$204*Calculations!D75*Calculations!F75*(References!$E$159-References!$E$160))/(References!$D$210*Calculations!AB75))-Calculations!Y75)*Calculations!T75</f>
        <v>#VALUE!</v>
      </c>
      <c r="AD75" s="269" t="e">
        <f>AC75*References!$B$29</f>
        <v>#VALUE!</v>
      </c>
      <c r="AE75" s="269" t="str">
        <f>IF(AA75="","",(((References!$D$205*D75*E75*(References!$E$161-References!$E$162))/(References!$D$210*AA75))-Calculations!Y75)*Calculations!U75)</f>
        <v/>
      </c>
      <c r="AF75" s="718">
        <f>IFERROR(IF(J75="Electric",AE75*References!$B$29,((References!$D$205*Calculations!D75*Calculations!E75*(References!$E$161-References!$E$162))/(References!$D$206*Calculations!Z75))*Calculations!U75),0)</f>
        <v>0</v>
      </c>
      <c r="AG75" s="718">
        <f t="shared" si="68"/>
        <v>0</v>
      </c>
      <c r="AH75" s="718">
        <f>IFERROR((((References!$D$204*Calculations!D75*Calculations!F75*(References!$E$159-References!$E$160))/(References!$D$210*Calculations!AB75))-Calculations!Y75),0)</f>
        <v>0</v>
      </c>
      <c r="AI75" s="718">
        <f t="shared" si="69"/>
        <v>0</v>
      </c>
      <c r="AJ75" s="269">
        <f>IF(C75="",0,ROUND(References!$E$167*AH75,References!$B$40))</f>
        <v>0</v>
      </c>
      <c r="AK75" s="269" t="str">
        <f>IF(C75="Heat Recovery Ventilator (HRV)",(D75*G75*References!$D$209*References!$D$208)/(References!$D$207*References!$E$165*References!$E$166),"")</f>
        <v/>
      </c>
      <c r="AL75" s="269" t="str">
        <f t="shared" si="60"/>
        <v/>
      </c>
      <c r="AM75" s="269" t="str">
        <f t="shared" si="61"/>
        <v/>
      </c>
      <c r="AN75" s="269" t="str">
        <f t="shared" si="62"/>
        <v/>
      </c>
      <c r="AO75" s="269" t="e">
        <f>(((References!$D$205*Calculations!D75*Calculations!E75*(References!$E$163-References!$E$164))/(References!$D$210*Calculations!AN75))-Calculations!AK75)*Calculations!T75</f>
        <v>#VALUE!</v>
      </c>
      <c r="AP75" s="269" t="e">
        <f>AO75*References!$B$29</f>
        <v>#VALUE!</v>
      </c>
      <c r="AQ75" s="269" t="str">
        <f>IF(AM75="","",(((References!$D$205*D75*E75*(References!$E$161-References!$E$162))/(References!$D$210*Calculations!AM75))-Calculations!AK75)*Calculations!U75)</f>
        <v/>
      </c>
      <c r="AR75" s="269" t="e">
        <f>IF(AL75="",AQ75*References!$B$29,((References!$D$205*Calculations!D75*Calculations!E75*(References!$E$161-References!$E$162))/(References!$D$206*Calculations!AL75))*Calculations!U75)</f>
        <v>#VALUE!</v>
      </c>
      <c r="AS75" s="718">
        <f t="shared" si="70"/>
        <v>0</v>
      </c>
      <c r="AT75" s="718">
        <f>IFERROR(((((References!$D$205*Calculations!D75*Calculations!E75*(References!$E$163-References!$E$164))/(References!$D$210*Calculations!AN75))-Calculations!AK75)),0)</f>
        <v>0</v>
      </c>
      <c r="AU75" s="269">
        <f t="shared" si="71"/>
        <v>0</v>
      </c>
      <c r="AV75" s="269">
        <f>IF(C75="",0,ROUND(References!$E$167*AT75,References!$B$40))</f>
        <v>0</v>
      </c>
      <c r="AW75" s="695">
        <f>IFERROR(IF(AI75=0,0,(D75/100)*References!$E$213),0)</f>
        <v>0</v>
      </c>
      <c r="AX75" s="269">
        <f>IFERROR(IF(AU75=0,0,(D75/100)*References!$E$214),0)</f>
        <v>0</v>
      </c>
      <c r="AY75" s="695" t="e">
        <f>IF(AW75&gt;0.7*Ventilation!$M23,0.7*Ventilation!$M23,AW75)</f>
        <v>#VALUE!</v>
      </c>
      <c r="AZ75" s="695" t="e">
        <f>IF(AX75&gt;0.7*Ventilation!$M23,0.7*Ventilation!$M23,AX75)</f>
        <v>#VALUE!</v>
      </c>
    </row>
    <row r="76" spans="2:52" x14ac:dyDescent="0.3">
      <c r="B76" s="11">
        <v>5</v>
      </c>
      <c r="C76" s="15" t="str">
        <f>IF(Ventilation!B24="","",Ventilation!B24)</f>
        <v/>
      </c>
      <c r="D76" s="15" t="str">
        <f>IF(Ventilation!C24="","",Ventilation!C24)</f>
        <v/>
      </c>
      <c r="E76" s="15" t="str">
        <f>IF(Ventilation!E24="","",Ventilation!E24)</f>
        <v/>
      </c>
      <c r="F76" s="15" t="str">
        <f>IF(Ventilation!F24="","",Ventilation!F24)</f>
        <v/>
      </c>
      <c r="G76" s="15" t="str">
        <f>IF(Ventilation!G24="","",Ventilation!G24)</f>
        <v/>
      </c>
      <c r="H76" s="15" t="str">
        <f>IF(Ventilation!H24="","",Ventilation!H24)</f>
        <v/>
      </c>
      <c r="I76" s="15" t="str">
        <f>IF(Ventilation!O24="","",Ventilation!O24)</f>
        <v/>
      </c>
      <c r="J76" s="15" t="str">
        <f>IF(Ventilation!P24="","",Ventilation!P24)</f>
        <v/>
      </c>
      <c r="K76" s="15" t="str">
        <f>IF(Ventilation!Q24="","",Ventilation!Q24)</f>
        <v/>
      </c>
      <c r="L76" s="15" t="str">
        <f>IF(Ventilation!S24="","",Ventilation!S24)</f>
        <v/>
      </c>
      <c r="M76" s="15" t="str">
        <f>IF(Ventilation!T24="","",Ventilation!T24)</f>
        <v/>
      </c>
      <c r="N76" s="15" t="str">
        <f>IF(Ventilation!U24="","",Ventilation!U24)</f>
        <v/>
      </c>
      <c r="O76" s="687" t="str">
        <f t="shared" si="63"/>
        <v xml:space="preserve"> </v>
      </c>
      <c r="P76" s="511" t="str">
        <f>IF(C76="","",IF(L76="",INDEX(Ventilation_IEERLookup,MATCH(Calculations!O76,References!$D$190:$D$201,0),2),""))</f>
        <v/>
      </c>
      <c r="Q76" s="511" t="str">
        <f>IF(J76="Electric",IF(M76="",References!$E$187,M76),"")</f>
        <v/>
      </c>
      <c r="R76" s="511" t="str">
        <f>IF(C76="","",IF(N76="",IF(J76="Electric","",IF(J76="Oil",References!$E$185,References!$E$184)),""))</f>
        <v/>
      </c>
      <c r="S76" s="511" t="str">
        <f t="shared" si="64"/>
        <v/>
      </c>
      <c r="T76" s="685">
        <f>IF(OR(S76="",S76="… please select …"),0,INDEX(References!$H$170:$H$176,MATCH(S76,References!$G$170:$G$176,0)))</f>
        <v>0</v>
      </c>
      <c r="U76" s="685">
        <f>IF(OR(S76="",S76="… please select …"),0,INDEX(References!$I$170:$I$176,MATCH(S76,References!$G$170:$G$176,0)))</f>
        <v>0</v>
      </c>
      <c r="Y76" s="269" t="str">
        <f>IF(C76="Energy Recovery Ventilator (ERV)",(D76*G76*References!$D$209*References!$D$208)/(References!$D$207*References!$E$165*References!$E$166),"")</f>
        <v/>
      </c>
      <c r="Z76" s="269" t="str">
        <f t="shared" si="65"/>
        <v/>
      </c>
      <c r="AA76" s="269" t="str">
        <f t="shared" si="66"/>
        <v/>
      </c>
      <c r="AB76" s="269" t="str">
        <f t="shared" si="67"/>
        <v/>
      </c>
      <c r="AC76" s="269" t="e">
        <f>(((References!$D$204*Calculations!D76*Calculations!F76*(References!$E$159-References!$E$160))/(References!$D$210*Calculations!AB76))-Calculations!Y76)*Calculations!T76</f>
        <v>#VALUE!</v>
      </c>
      <c r="AD76" s="269" t="e">
        <f>AC76*References!$B$29</f>
        <v>#VALUE!</v>
      </c>
      <c r="AE76" s="269" t="str">
        <f>IF(AA76="","",(((References!$D$205*D76*E76*(References!$E$161-References!$E$162))/(References!$D$210*AA76))-Calculations!Y76)*Calculations!U76)</f>
        <v/>
      </c>
      <c r="AF76" s="718">
        <f>IFERROR(IF(J76="Electric",AE76*References!$B$29,((References!$D$205*Calculations!D76*Calculations!E76*(References!$E$161-References!$E$162))/(References!$D$206*Calculations!Z76))*Calculations!U76),0)</f>
        <v>0</v>
      </c>
      <c r="AG76" s="718">
        <f t="shared" si="68"/>
        <v>0</v>
      </c>
      <c r="AH76" s="718">
        <f>IFERROR((((References!$D$204*Calculations!D76*Calculations!F76*(References!$E$159-References!$E$160))/(References!$D$210*Calculations!AB76))-Calculations!Y76),0)</f>
        <v>0</v>
      </c>
      <c r="AI76" s="718">
        <f t="shared" si="69"/>
        <v>0</v>
      </c>
      <c r="AJ76" s="269">
        <f>IF(C76="",0,ROUND(References!$E$167*AH76,References!$B$40))</f>
        <v>0</v>
      </c>
      <c r="AK76" s="269" t="str">
        <f>IF(C76="Heat Recovery Ventilator (HRV)",(D76*G76*References!$D$209*References!$D$208)/(References!$D$207*References!$E$165*References!$E$166),"")</f>
        <v/>
      </c>
      <c r="AL76" s="269" t="str">
        <f t="shared" si="60"/>
        <v/>
      </c>
      <c r="AM76" s="269" t="str">
        <f t="shared" si="61"/>
        <v/>
      </c>
      <c r="AN76" s="269" t="str">
        <f t="shared" si="62"/>
        <v/>
      </c>
      <c r="AO76" s="269" t="e">
        <f>(((References!$D$205*Calculations!D76*Calculations!E76*(References!$E$163-References!$E$164))/(References!$D$210*Calculations!AN76))-Calculations!AK76)*Calculations!T76</f>
        <v>#VALUE!</v>
      </c>
      <c r="AP76" s="269" t="e">
        <f>AO76*References!$B$29</f>
        <v>#VALUE!</v>
      </c>
      <c r="AQ76" s="269" t="str">
        <f>IF(AM76="","",(((References!$D$205*D76*E76*(References!$E$161-References!$E$162))/(References!$D$210*Calculations!AM76))-Calculations!AK76)*Calculations!U76)</f>
        <v/>
      </c>
      <c r="AR76" s="269" t="e">
        <f>IF(AL76="",AQ76*References!$B$29,((References!$D$205*Calculations!D76*Calculations!E76*(References!$E$161-References!$E$162))/(References!$D$206*Calculations!AL76))*Calculations!U76)</f>
        <v>#VALUE!</v>
      </c>
      <c r="AS76" s="718">
        <f t="shared" si="70"/>
        <v>0</v>
      </c>
      <c r="AT76" s="718">
        <f>IFERROR(((((References!$D$205*Calculations!D76*Calculations!E76*(References!$E$163-References!$E$164))/(References!$D$210*Calculations!AN76))-Calculations!AK76)),0)</f>
        <v>0</v>
      </c>
      <c r="AU76" s="269">
        <f t="shared" si="71"/>
        <v>0</v>
      </c>
      <c r="AV76" s="269">
        <f>IF(C76="",0,ROUND(References!$E$167*AT76,References!$B$40))</f>
        <v>0</v>
      </c>
      <c r="AW76" s="695">
        <f>IFERROR(IF(AI76=0,0,(D76/100)*References!$E$213),0)</f>
        <v>0</v>
      </c>
      <c r="AX76" s="269">
        <f>IFERROR(IF(AU76=0,0,(D76/100)*References!$E$214),0)</f>
        <v>0</v>
      </c>
      <c r="AY76" s="695" t="e">
        <f>IF(AW76&gt;0.7*Ventilation!$M24,0.7*Ventilation!$M24,AW76)</f>
        <v>#VALUE!</v>
      </c>
      <c r="AZ76" s="695" t="e">
        <f>IF(AX76&gt;0.7*Ventilation!$M24,0.7*Ventilation!$M24,AX76)</f>
        <v>#VALUE!</v>
      </c>
    </row>
    <row r="77" spans="2:52" x14ac:dyDescent="0.3">
      <c r="B77" s="11">
        <v>6</v>
      </c>
      <c r="C77" s="15" t="str">
        <f>IF(Ventilation!B25="","",Ventilation!B25)</f>
        <v/>
      </c>
      <c r="D77" s="15" t="str">
        <f>IF(Ventilation!C25="","",Ventilation!C25)</f>
        <v/>
      </c>
      <c r="E77" s="15" t="str">
        <f>IF(Ventilation!E25="","",Ventilation!E25)</f>
        <v/>
      </c>
      <c r="F77" s="15" t="str">
        <f>IF(Ventilation!F25="","",Ventilation!F25)</f>
        <v/>
      </c>
      <c r="G77" s="15" t="str">
        <f>IF(Ventilation!G25="","",Ventilation!G25)</f>
        <v/>
      </c>
      <c r="H77" s="15" t="str">
        <f>IF(Ventilation!H25="","",Ventilation!H25)</f>
        <v/>
      </c>
      <c r="I77" s="15" t="str">
        <f>IF(Ventilation!O25="","",Ventilation!O25)</f>
        <v/>
      </c>
      <c r="J77" s="15" t="str">
        <f>IF(Ventilation!P25="","",Ventilation!P25)</f>
        <v/>
      </c>
      <c r="K77" s="15" t="str">
        <f>IF(Ventilation!Q25="","",Ventilation!Q25)</f>
        <v/>
      </c>
      <c r="L77" s="15" t="str">
        <f>IF(Ventilation!S25="","",Ventilation!S25)</f>
        <v/>
      </c>
      <c r="M77" s="15" t="str">
        <f>IF(Ventilation!T25="","",Ventilation!T25)</f>
        <v/>
      </c>
      <c r="N77" s="15" t="str">
        <f>IF(Ventilation!U25="","",Ventilation!U25)</f>
        <v/>
      </c>
      <c r="O77" s="687" t="str">
        <f t="shared" si="63"/>
        <v xml:space="preserve"> </v>
      </c>
      <c r="P77" s="511" t="str">
        <f>IF(C77="","",IF(L77="",INDEX(Ventilation_IEERLookup,MATCH(Calculations!O77,References!$D$190:$D$201,0),2),""))</f>
        <v/>
      </c>
      <c r="Q77" s="511" t="str">
        <f>IF(J77="Electric",IF(M77="",References!$E$187,M77),"")</f>
        <v/>
      </c>
      <c r="R77" s="511" t="str">
        <f>IF(C77="","",IF(N77="",IF(J77="Electric","",IF(J77="Oil",References!$E$185,References!$E$184)),""))</f>
        <v/>
      </c>
      <c r="S77" s="511" t="str">
        <f t="shared" si="64"/>
        <v/>
      </c>
      <c r="T77" s="685">
        <f>IF(OR(S77="",S77="… please select …"),0,INDEX(References!$H$170:$H$176,MATCH(S77,References!$G$170:$G$176,0)))</f>
        <v>0</v>
      </c>
      <c r="U77" s="685">
        <f>IF(OR(S77="",S77="… please select …"),0,INDEX(References!$I$170:$I$176,MATCH(S77,References!$G$170:$G$176,0)))</f>
        <v>0</v>
      </c>
      <c r="Y77" s="269" t="str">
        <f>IF(C77="Energy Recovery Ventilator (ERV)",(D77*G77*References!$D$209*References!$D$208)/(References!$D$207*References!$E$165*References!$E$166),"")</f>
        <v/>
      </c>
      <c r="Z77" s="269" t="str">
        <f t="shared" si="65"/>
        <v/>
      </c>
      <c r="AA77" s="269" t="str">
        <f t="shared" si="66"/>
        <v/>
      </c>
      <c r="AB77" s="269" t="str">
        <f t="shared" si="67"/>
        <v/>
      </c>
      <c r="AC77" s="269" t="e">
        <f>(((References!$D$204*Calculations!D77*Calculations!F77*(References!$E$159-References!$E$160))/(References!$D$210*Calculations!AB77))-Calculations!Y77)*Calculations!T77</f>
        <v>#VALUE!</v>
      </c>
      <c r="AD77" s="269" t="e">
        <f>AC77*References!$B$29</f>
        <v>#VALUE!</v>
      </c>
      <c r="AE77" s="269" t="str">
        <f>IF(AA77="","",(((References!$D$205*D77*E77*(References!$E$161-References!$E$162))/(References!$D$210*AA77))-Calculations!Y77)*Calculations!U77)</f>
        <v/>
      </c>
      <c r="AF77" s="718">
        <f>IFERROR(IF(J77="Electric",AE77*References!$B$29,((References!$D$205*Calculations!D77*Calculations!E77*(References!$E$161-References!$E$162))/(References!$D$206*Calculations!Z77))*Calculations!U77),0)</f>
        <v>0</v>
      </c>
      <c r="AG77" s="718">
        <f t="shared" si="68"/>
        <v>0</v>
      </c>
      <c r="AH77" s="718">
        <f>IFERROR((((References!$D$204*Calculations!D77*Calculations!F77*(References!$E$159-References!$E$160))/(References!$D$210*Calculations!AB77))-Calculations!Y77),0)</f>
        <v>0</v>
      </c>
      <c r="AI77" s="718">
        <f t="shared" si="69"/>
        <v>0</v>
      </c>
      <c r="AJ77" s="269">
        <f>IF(C77="",0,ROUND(References!$E$167*AH77,References!$B$40))</f>
        <v>0</v>
      </c>
      <c r="AK77" s="269" t="str">
        <f>IF(C77="Heat Recovery Ventilator (HRV)",(D77*G77*References!$D$209*References!$D$208)/(References!$D$207*References!$E$165*References!$E$166),"")</f>
        <v/>
      </c>
      <c r="AL77" s="269" t="str">
        <f t="shared" si="60"/>
        <v/>
      </c>
      <c r="AM77" s="269" t="str">
        <f t="shared" si="61"/>
        <v/>
      </c>
      <c r="AN77" s="269" t="str">
        <f t="shared" si="62"/>
        <v/>
      </c>
      <c r="AO77" s="269" t="e">
        <f>(((References!$D$205*Calculations!D77*Calculations!E77*(References!$E$163-References!$E$164))/(References!$D$210*Calculations!AN77))-Calculations!AK77)*Calculations!T77</f>
        <v>#VALUE!</v>
      </c>
      <c r="AP77" s="269" t="e">
        <f>AO77*References!$B$29</f>
        <v>#VALUE!</v>
      </c>
      <c r="AQ77" s="269" t="str">
        <f>IF(AM77="","",(((References!$D$205*D77*E77*(References!$E$161-References!$E$162))/(References!$D$210*Calculations!AM77))-Calculations!AK77)*Calculations!U77)</f>
        <v/>
      </c>
      <c r="AR77" s="269" t="e">
        <f>IF(AL77="",AQ77*References!$B$29,((References!$D$205*Calculations!D77*Calculations!E77*(References!$E$161-References!$E$162))/(References!$D$206*Calculations!AL77))*Calculations!U77)</f>
        <v>#VALUE!</v>
      </c>
      <c r="AS77" s="718">
        <f t="shared" si="70"/>
        <v>0</v>
      </c>
      <c r="AT77" s="718">
        <f>IFERROR(((((References!$D$205*Calculations!D77*Calculations!E77*(References!$E$163-References!$E$164))/(References!$D$210*Calculations!AN77))-Calculations!AK77)),0)</f>
        <v>0</v>
      </c>
      <c r="AU77" s="269">
        <f t="shared" si="71"/>
        <v>0</v>
      </c>
      <c r="AV77" s="269">
        <f>IF(C77="",0,ROUND(References!$E$167*AT77,References!$B$40))</f>
        <v>0</v>
      </c>
      <c r="AW77" s="695">
        <f>IFERROR(IF(AI77=0,0,(D77/100)*References!$E$213),0)</f>
        <v>0</v>
      </c>
      <c r="AX77" s="269">
        <f>IFERROR(IF(AU77=0,0,(D77/100)*References!$E$214),0)</f>
        <v>0</v>
      </c>
      <c r="AY77" s="695" t="e">
        <f>IF(AW77&gt;0.7*Ventilation!$M25,0.7*Ventilation!$M25,AW77)</f>
        <v>#VALUE!</v>
      </c>
      <c r="AZ77" s="695" t="e">
        <f>IF(AX77&gt;0.7*Ventilation!$M25,0.7*Ventilation!$M25,AX77)</f>
        <v>#VALUE!</v>
      </c>
    </row>
    <row r="78" spans="2:52" x14ac:dyDescent="0.3">
      <c r="B78" s="11">
        <v>7</v>
      </c>
      <c r="C78" s="15" t="str">
        <f>IF(Ventilation!B26="","",Ventilation!B26)</f>
        <v/>
      </c>
      <c r="D78" s="15" t="str">
        <f>IF(Ventilation!C26="","",Ventilation!C26)</f>
        <v/>
      </c>
      <c r="E78" s="15" t="str">
        <f>IF(Ventilation!E26="","",Ventilation!E26)</f>
        <v/>
      </c>
      <c r="F78" s="15" t="str">
        <f>IF(Ventilation!F26="","",Ventilation!F26)</f>
        <v/>
      </c>
      <c r="G78" s="15" t="str">
        <f>IF(Ventilation!G26="","",Ventilation!G26)</f>
        <v/>
      </c>
      <c r="H78" s="15" t="str">
        <f>IF(Ventilation!H26="","",Ventilation!H26)</f>
        <v/>
      </c>
      <c r="I78" s="15" t="str">
        <f>IF(Ventilation!O26="","",Ventilation!O26)</f>
        <v/>
      </c>
      <c r="J78" s="15" t="str">
        <f>IF(Ventilation!P26="","",Ventilation!P26)</f>
        <v/>
      </c>
      <c r="K78" s="15" t="str">
        <f>IF(Ventilation!Q26="","",Ventilation!Q26)</f>
        <v/>
      </c>
      <c r="L78" s="15" t="str">
        <f>IF(Ventilation!S26="","",Ventilation!S26)</f>
        <v/>
      </c>
      <c r="M78" s="15" t="str">
        <f>IF(Ventilation!T26="","",Ventilation!T26)</f>
        <v/>
      </c>
      <c r="N78" s="15" t="str">
        <f>IF(Ventilation!U26="","",Ventilation!U26)</f>
        <v/>
      </c>
      <c r="O78" s="687" t="str">
        <f t="shared" si="63"/>
        <v xml:space="preserve"> </v>
      </c>
      <c r="P78" s="511" t="str">
        <f>IF(C78="","",IF(L78="",INDEX(Ventilation_IEERLookup,MATCH(Calculations!O78,References!$D$190:$D$201,0),2),""))</f>
        <v/>
      </c>
      <c r="Q78" s="511" t="str">
        <f>IF(J78="Electric",IF(M78="",References!$E$187,M78),"")</f>
        <v/>
      </c>
      <c r="R78" s="511" t="str">
        <f>IF(C78="","",IF(N78="",IF(J78="Electric","",IF(J78="Oil",References!$E$185,References!$E$184)),""))</f>
        <v/>
      </c>
      <c r="S78" s="511" t="str">
        <f t="shared" si="64"/>
        <v/>
      </c>
      <c r="T78" s="685">
        <f>IF(OR(S78="",S78="… please select …"),0,INDEX(References!$H$170:$H$176,MATCH(S78,References!$G$170:$G$176,0)))</f>
        <v>0</v>
      </c>
      <c r="U78" s="685">
        <f>IF(OR(S78="",S78="… please select …"),0,INDEX(References!$I$170:$I$176,MATCH(S78,References!$G$170:$G$176,0)))</f>
        <v>0</v>
      </c>
      <c r="Y78" s="269" t="str">
        <f>IF(C78="Energy Recovery Ventilator (ERV)",(D78*G78*References!$D$209*References!$D$208)/(References!$D$207*References!$E$165*References!$E$166),"")</f>
        <v/>
      </c>
      <c r="Z78" s="269" t="str">
        <f t="shared" si="65"/>
        <v/>
      </c>
      <c r="AA78" s="269" t="str">
        <f t="shared" si="66"/>
        <v/>
      </c>
      <c r="AB78" s="269" t="str">
        <f t="shared" si="67"/>
        <v/>
      </c>
      <c r="AC78" s="269" t="e">
        <f>(((References!$D$204*Calculations!D78*Calculations!F78*(References!$E$159-References!$E$160))/(References!$D$210*Calculations!AB78))-Calculations!Y78)*Calculations!T78</f>
        <v>#VALUE!</v>
      </c>
      <c r="AD78" s="269" t="e">
        <f>AC78*References!$B$29</f>
        <v>#VALUE!</v>
      </c>
      <c r="AE78" s="269" t="str">
        <f>IF(AA78="","",(((References!$D$205*D78*E78*(References!$E$161-References!$E$162))/(References!$D$210*AA78))-Calculations!Y78)*Calculations!U78)</f>
        <v/>
      </c>
      <c r="AF78" s="718">
        <f>IFERROR(IF(J78="Electric",AE78*References!$B$29,((References!$D$205*Calculations!D78*Calculations!E78*(References!$E$161-References!$E$162))/(References!$D$206*Calculations!Z78))*Calculations!U78),0)</f>
        <v>0</v>
      </c>
      <c r="AG78" s="718">
        <f t="shared" si="68"/>
        <v>0</v>
      </c>
      <c r="AH78" s="718">
        <f>IFERROR((((References!$D$204*Calculations!D78*Calculations!F78*(References!$E$159-References!$E$160))/(References!$D$210*Calculations!AB78))-Calculations!Y78),0)</f>
        <v>0</v>
      </c>
      <c r="AI78" s="718">
        <f t="shared" si="69"/>
        <v>0</v>
      </c>
      <c r="AJ78" s="269">
        <f>IF(C78="",0,ROUND(References!$E$167*AH78,References!$B$40))</f>
        <v>0</v>
      </c>
      <c r="AK78" s="269" t="str">
        <f>IF(C78="Heat Recovery Ventilator (HRV)",(D78*G78*References!$D$209*References!$D$208)/(References!$D$207*References!$E$165*References!$E$166),"")</f>
        <v/>
      </c>
      <c r="AL78" s="269" t="str">
        <f t="shared" si="60"/>
        <v/>
      </c>
      <c r="AM78" s="269" t="str">
        <f t="shared" si="61"/>
        <v/>
      </c>
      <c r="AN78" s="269" t="str">
        <f t="shared" si="62"/>
        <v/>
      </c>
      <c r="AO78" s="269" t="e">
        <f>(((References!$D$205*Calculations!D78*Calculations!E78*(References!$E$163-References!$E$164))/(References!$D$210*Calculations!AN78))-Calculations!AK78)*Calculations!T78</f>
        <v>#VALUE!</v>
      </c>
      <c r="AP78" s="269" t="e">
        <f>AO78*References!$B$29</f>
        <v>#VALUE!</v>
      </c>
      <c r="AQ78" s="269" t="str">
        <f>IF(AM78="","",(((References!$D$205*D78*E78*(References!$E$161-References!$E$162))/(References!$D$210*Calculations!AM78))-Calculations!AK78)*Calculations!U78)</f>
        <v/>
      </c>
      <c r="AR78" s="269" t="e">
        <f>IF(AL78="",AQ78*References!$B$29,((References!$D$205*Calculations!D78*Calculations!E78*(References!$E$161-References!$E$162))/(References!$D$206*Calculations!AL78))*Calculations!U78)</f>
        <v>#VALUE!</v>
      </c>
      <c r="AS78" s="718">
        <f t="shared" si="70"/>
        <v>0</v>
      </c>
      <c r="AT78" s="718">
        <f>IFERROR(((((References!$D$205*Calculations!D78*Calculations!E78*(References!$E$163-References!$E$164))/(References!$D$210*Calculations!AN78))-Calculations!AK78)),0)</f>
        <v>0</v>
      </c>
      <c r="AU78" s="269">
        <f t="shared" si="71"/>
        <v>0</v>
      </c>
      <c r="AV78" s="269">
        <f>IF(C78="",0,ROUND(References!$E$167*AT78,References!$B$40))</f>
        <v>0</v>
      </c>
      <c r="AW78" s="695">
        <f>IFERROR(IF(AI78=0,0,(D78/100)*References!$E$213),0)</f>
        <v>0</v>
      </c>
      <c r="AX78" s="269">
        <f>IFERROR(IF(AU78=0,0,(D78/100)*References!$E$214),0)</f>
        <v>0</v>
      </c>
      <c r="AY78" s="695" t="e">
        <f>IF(AW78&gt;0.7*Ventilation!$M26,0.7*Ventilation!$M26,AW78)</f>
        <v>#VALUE!</v>
      </c>
      <c r="AZ78" s="695" t="e">
        <f>IF(AX78&gt;0.7*Ventilation!$M26,0.7*Ventilation!$M26,AX78)</f>
        <v>#VALUE!</v>
      </c>
    </row>
    <row r="79" spans="2:52" x14ac:dyDescent="0.3">
      <c r="B79" s="11">
        <v>8</v>
      </c>
      <c r="C79" s="15" t="str">
        <f>IF(Ventilation!B27="","",Ventilation!B27)</f>
        <v/>
      </c>
      <c r="D79" s="15" t="str">
        <f>IF(Ventilation!C27="","",Ventilation!C27)</f>
        <v/>
      </c>
      <c r="E79" s="15" t="str">
        <f>IF(Ventilation!E27="","",Ventilation!E27)</f>
        <v/>
      </c>
      <c r="F79" s="15" t="str">
        <f>IF(Ventilation!F27="","",Ventilation!F27)</f>
        <v/>
      </c>
      <c r="G79" s="15" t="str">
        <f>IF(Ventilation!G27="","",Ventilation!G27)</f>
        <v/>
      </c>
      <c r="H79" s="15" t="str">
        <f>IF(Ventilation!H27="","",Ventilation!H27)</f>
        <v/>
      </c>
      <c r="I79" s="15" t="str">
        <f>IF(Ventilation!O27="","",Ventilation!O27)</f>
        <v/>
      </c>
      <c r="J79" s="15" t="str">
        <f>IF(Ventilation!P27="","",Ventilation!P27)</f>
        <v/>
      </c>
      <c r="K79" s="15" t="str">
        <f>IF(Ventilation!Q27="","",Ventilation!Q27)</f>
        <v/>
      </c>
      <c r="L79" s="15" t="str">
        <f>IF(Ventilation!S27="","",Ventilation!S27)</f>
        <v/>
      </c>
      <c r="M79" s="15" t="str">
        <f>IF(Ventilation!T27="","",Ventilation!T27)</f>
        <v/>
      </c>
      <c r="N79" s="15" t="str">
        <f>IF(Ventilation!U27="","",Ventilation!U27)</f>
        <v/>
      </c>
      <c r="O79" s="687" t="str">
        <f t="shared" si="63"/>
        <v xml:space="preserve"> </v>
      </c>
      <c r="P79" s="511" t="str">
        <f>IF(C79="","",IF(L79="",INDEX(Ventilation_IEERLookup,MATCH(Calculations!O79,References!$D$190:$D$201,0),2),""))</f>
        <v/>
      </c>
      <c r="Q79" s="511" t="str">
        <f>IF(J79="Electric",IF(M79="",References!$E$187,M79),"")</f>
        <v/>
      </c>
      <c r="R79" s="511" t="str">
        <f>IF(C79="","",IF(N79="",IF(J79="Electric","",IF(J79="Oil",References!$E$185,References!$E$184)),""))</f>
        <v/>
      </c>
      <c r="S79" s="511" t="str">
        <f t="shared" si="64"/>
        <v/>
      </c>
      <c r="T79" s="685">
        <f>IF(OR(S79="",S79="… please select …"),0,INDEX(References!$H$170:$H$176,MATCH(S79,References!$G$170:$G$176,0)))</f>
        <v>0</v>
      </c>
      <c r="U79" s="685">
        <f>IF(OR(S79="",S79="… please select …"),0,INDEX(References!$I$170:$I$176,MATCH(S79,References!$G$170:$G$176,0)))</f>
        <v>0</v>
      </c>
      <c r="Y79" s="269" t="str">
        <f>IF(C79="Energy Recovery Ventilator (ERV)",(D79*G79*References!$D$209*References!$D$208)/(References!$D$207*References!$E$165*References!$E$166),"")</f>
        <v/>
      </c>
      <c r="Z79" s="269" t="str">
        <f t="shared" si="65"/>
        <v/>
      </c>
      <c r="AA79" s="269" t="str">
        <f t="shared" si="66"/>
        <v/>
      </c>
      <c r="AB79" s="269" t="str">
        <f t="shared" si="67"/>
        <v/>
      </c>
      <c r="AC79" s="269" t="e">
        <f>(((References!$D$204*Calculations!D79*Calculations!F79*(References!$E$159-References!$E$160))/(References!$D$210*Calculations!AB79))-Calculations!Y79)*Calculations!T79</f>
        <v>#VALUE!</v>
      </c>
      <c r="AD79" s="269" t="e">
        <f>AC79*References!$B$29</f>
        <v>#VALUE!</v>
      </c>
      <c r="AE79" s="269" t="str">
        <f>IF(AA79="","",(((References!$D$205*D79*E79*(References!$E$161-References!$E$162))/(References!$D$210*AA79))-Calculations!Y79)*Calculations!U79)</f>
        <v/>
      </c>
      <c r="AF79" s="718">
        <f>IFERROR(IF(J79="Electric",AE79*References!$B$29,((References!$D$205*Calculations!D79*Calculations!E79*(References!$E$161-References!$E$162))/(References!$D$206*Calculations!Z79))*Calculations!U79),0)</f>
        <v>0</v>
      </c>
      <c r="AG79" s="718">
        <f t="shared" si="68"/>
        <v>0</v>
      </c>
      <c r="AH79" s="718">
        <f>IFERROR((((References!$D$204*Calculations!D79*Calculations!F79*(References!$E$159-References!$E$160))/(References!$D$210*Calculations!AB79))-Calculations!Y79),0)</f>
        <v>0</v>
      </c>
      <c r="AI79" s="718">
        <f t="shared" si="69"/>
        <v>0</v>
      </c>
      <c r="AJ79" s="269">
        <f>IF(C79="",0,ROUND(References!$E$167*AH79,References!$B$40))</f>
        <v>0</v>
      </c>
      <c r="AK79" s="269" t="str">
        <f>IF(C79="Heat Recovery Ventilator (HRV)",(D79*G79*References!$D$209*References!$D$208)/(References!$D$207*References!$E$165*References!$E$166),"")</f>
        <v/>
      </c>
      <c r="AL79" s="269" t="str">
        <f t="shared" si="60"/>
        <v/>
      </c>
      <c r="AM79" s="269" t="str">
        <f t="shared" si="61"/>
        <v/>
      </c>
      <c r="AN79" s="269" t="str">
        <f t="shared" si="62"/>
        <v/>
      </c>
      <c r="AO79" s="269" t="e">
        <f>(((References!$D$205*Calculations!D79*Calculations!E79*(References!$E$163-References!$E$164))/(References!$D$210*Calculations!AN79))-Calculations!AK79)*Calculations!T79</f>
        <v>#VALUE!</v>
      </c>
      <c r="AP79" s="269" t="e">
        <f>AO79*References!$B$29</f>
        <v>#VALUE!</v>
      </c>
      <c r="AQ79" s="269" t="str">
        <f>IF(AM79="","",(((References!$D$205*D79*E79*(References!$E$161-References!$E$162))/(References!$D$210*Calculations!AM79))-Calculations!AK79)*Calculations!U79)</f>
        <v/>
      </c>
      <c r="AR79" s="269" t="e">
        <f>IF(AL79="",AQ79*References!$B$29,((References!$D$205*Calculations!D79*Calculations!E79*(References!$E$161-References!$E$162))/(References!$D$206*Calculations!AL79))*Calculations!U79)</f>
        <v>#VALUE!</v>
      </c>
      <c r="AS79" s="718">
        <f t="shared" si="70"/>
        <v>0</v>
      </c>
      <c r="AT79" s="718">
        <f>IFERROR(((((References!$D$205*Calculations!D79*Calculations!E79*(References!$E$163-References!$E$164))/(References!$D$210*Calculations!AN79))-Calculations!AK79)),0)</f>
        <v>0</v>
      </c>
      <c r="AU79" s="269">
        <f t="shared" si="71"/>
        <v>0</v>
      </c>
      <c r="AV79" s="269">
        <f>IF(C79="",0,ROUND(References!$E$167*AT79,References!$B$40))</f>
        <v>0</v>
      </c>
      <c r="AW79" s="695">
        <f>IFERROR(IF(AI79=0,0,(D79/100)*References!$E$213),0)</f>
        <v>0</v>
      </c>
      <c r="AX79" s="269">
        <f>IFERROR(IF(AU79=0,0,(D79/100)*References!$E$214),0)</f>
        <v>0</v>
      </c>
      <c r="AY79" s="695" t="e">
        <f>IF(AW79&gt;0.7*Ventilation!$M27,0.7*Ventilation!$M27,AW79)</f>
        <v>#VALUE!</v>
      </c>
      <c r="AZ79" s="695" t="e">
        <f>IF(AX79&gt;0.7*Ventilation!$M27,0.7*Ventilation!$M27,AX79)</f>
        <v>#VALUE!</v>
      </c>
    </row>
    <row r="80" spans="2:52" x14ac:dyDescent="0.3">
      <c r="B80" s="11">
        <v>9</v>
      </c>
      <c r="C80" s="15" t="str">
        <f>IF(Ventilation!B28="","",Ventilation!B28)</f>
        <v/>
      </c>
      <c r="D80" s="15" t="str">
        <f>IF(Ventilation!C28="","",Ventilation!C28)</f>
        <v/>
      </c>
      <c r="E80" s="15" t="str">
        <f>IF(Ventilation!E28="","",Ventilation!E28)</f>
        <v/>
      </c>
      <c r="F80" s="15" t="str">
        <f>IF(Ventilation!F28="","",Ventilation!F28)</f>
        <v/>
      </c>
      <c r="G80" s="15" t="str">
        <f>IF(Ventilation!G28="","",Ventilation!G28)</f>
        <v/>
      </c>
      <c r="H80" s="15" t="str">
        <f>IF(Ventilation!H28="","",Ventilation!H28)</f>
        <v/>
      </c>
      <c r="I80" s="15" t="str">
        <f>IF(Ventilation!O28="","",Ventilation!O28)</f>
        <v/>
      </c>
      <c r="J80" s="15" t="str">
        <f>IF(Ventilation!P28="","",Ventilation!P28)</f>
        <v/>
      </c>
      <c r="K80" s="15" t="str">
        <f>IF(Ventilation!Q28="","",Ventilation!Q28)</f>
        <v/>
      </c>
      <c r="L80" s="15" t="str">
        <f>IF(Ventilation!S28="","",Ventilation!S28)</f>
        <v/>
      </c>
      <c r="M80" s="15" t="str">
        <f>IF(Ventilation!T28="","",Ventilation!T28)</f>
        <v/>
      </c>
      <c r="N80" s="15" t="str">
        <f>IF(Ventilation!U28="","",Ventilation!U28)</f>
        <v/>
      </c>
      <c r="O80" s="687" t="str">
        <f t="shared" si="63"/>
        <v xml:space="preserve"> </v>
      </c>
      <c r="P80" s="511" t="str">
        <f>IF(C80="","",IF(L80="",INDEX(Ventilation_IEERLookup,MATCH(Calculations!O80,References!$D$190:$D$201,0),2),""))</f>
        <v/>
      </c>
      <c r="Q80" s="511" t="str">
        <f>IF(J80="Electric",IF(M80="",References!$E$187,M80),"")</f>
        <v/>
      </c>
      <c r="R80" s="511" t="str">
        <f>IF(C80="","",IF(N80="",IF(J80="Electric","",IF(J80="Oil",References!$E$185,References!$E$184)),""))</f>
        <v/>
      </c>
      <c r="S80" s="511" t="str">
        <f t="shared" si="64"/>
        <v/>
      </c>
      <c r="T80" s="685">
        <f>IF(OR(S80="",S80="… please select …"),0,INDEX(References!$H$170:$H$176,MATCH(S80,References!$G$170:$G$176,0)))</f>
        <v>0</v>
      </c>
      <c r="U80" s="685">
        <f>IF(OR(S80="",S80="… please select …"),0,INDEX(References!$I$170:$I$176,MATCH(S80,References!$G$170:$G$176,0)))</f>
        <v>0</v>
      </c>
      <c r="Y80" s="269" t="str">
        <f>IF(C80="Energy Recovery Ventilator (ERV)",(D80*G80*References!$D$209*References!$D$208)/(References!$D$207*References!$E$165*References!$E$166),"")</f>
        <v/>
      </c>
      <c r="Z80" s="269" t="str">
        <f t="shared" si="65"/>
        <v/>
      </c>
      <c r="AA80" s="269" t="str">
        <f t="shared" si="66"/>
        <v/>
      </c>
      <c r="AB80" s="269" t="str">
        <f t="shared" si="67"/>
        <v/>
      </c>
      <c r="AC80" s="269" t="e">
        <f>(((References!$D$204*Calculations!D80*Calculations!F80*(References!$E$159-References!$E$160))/(References!$D$210*Calculations!AB80))-Calculations!Y80)*Calculations!T80</f>
        <v>#VALUE!</v>
      </c>
      <c r="AD80" s="269" t="e">
        <f>AC80*References!$B$29</f>
        <v>#VALUE!</v>
      </c>
      <c r="AE80" s="269" t="str">
        <f>IF(AA80="","",(((References!$D$205*D80*E80*(References!$E$161-References!$E$162))/(References!$D$210*AA80))-Calculations!Y80)*Calculations!U80)</f>
        <v/>
      </c>
      <c r="AF80" s="718">
        <f>IFERROR(IF(J80="Electric",AE80*References!$B$29,((References!$D$205*Calculations!D80*Calculations!E80*(References!$E$161-References!$E$162))/(References!$D$206*Calculations!Z80))*Calculations!U80),0)</f>
        <v>0</v>
      </c>
      <c r="AG80" s="718">
        <f t="shared" si="68"/>
        <v>0</v>
      </c>
      <c r="AH80" s="718">
        <f>IFERROR((((References!$D$204*Calculations!D80*Calculations!F80*(References!$E$159-References!$E$160))/(References!$D$210*Calculations!AB80))-Calculations!Y80),0)</f>
        <v>0</v>
      </c>
      <c r="AI80" s="718">
        <f t="shared" si="69"/>
        <v>0</v>
      </c>
      <c r="AJ80" s="269">
        <f>IF(C80="",0,ROUND(References!$E$167*AH80,References!$B$40))</f>
        <v>0</v>
      </c>
      <c r="AK80" s="269" t="str">
        <f>IF(C80="Heat Recovery Ventilator (HRV)",(D80*G80*References!$D$209*References!$D$208)/(References!$D$207*References!$E$165*References!$E$166),"")</f>
        <v/>
      </c>
      <c r="AL80" s="269" t="str">
        <f t="shared" si="60"/>
        <v/>
      </c>
      <c r="AM80" s="269" t="str">
        <f t="shared" si="61"/>
        <v/>
      </c>
      <c r="AN80" s="269" t="str">
        <f t="shared" si="62"/>
        <v/>
      </c>
      <c r="AO80" s="269" t="e">
        <f>(((References!$D$205*Calculations!D80*Calculations!E80*(References!$E$163-References!$E$164))/(References!$D$210*Calculations!AN80))-Calculations!AK80)*Calculations!T80</f>
        <v>#VALUE!</v>
      </c>
      <c r="AP80" s="269" t="e">
        <f>AO80*References!$B$29</f>
        <v>#VALUE!</v>
      </c>
      <c r="AQ80" s="269" t="str">
        <f>IF(AM80="","",(((References!$D$205*D80*E80*(References!$E$161-References!$E$162))/(References!$D$210*Calculations!AM80))-Calculations!AK80)*Calculations!U80)</f>
        <v/>
      </c>
      <c r="AR80" s="269" t="e">
        <f>IF(AL80="",AQ80*References!$B$29,((References!$D$205*Calculations!D80*Calculations!E80*(References!$E$161-References!$E$162))/(References!$D$206*Calculations!AL80))*Calculations!U80)</f>
        <v>#VALUE!</v>
      </c>
      <c r="AS80" s="718">
        <f t="shared" si="70"/>
        <v>0</v>
      </c>
      <c r="AT80" s="718">
        <f>IFERROR(((((References!$D$205*Calculations!D80*Calculations!E80*(References!$E$163-References!$E$164))/(References!$D$210*Calculations!AN80))-Calculations!AK80)),0)</f>
        <v>0</v>
      </c>
      <c r="AU80" s="269">
        <f t="shared" si="71"/>
        <v>0</v>
      </c>
      <c r="AV80" s="269">
        <f>IF(C80="",0,ROUND(References!$E$167*AT80,References!$B$40))</f>
        <v>0</v>
      </c>
      <c r="AW80" s="695">
        <f>IFERROR(IF(AI80=0,0,(D80/100)*References!$E$213),0)</f>
        <v>0</v>
      </c>
      <c r="AX80" s="269">
        <f>IFERROR(IF(AU80=0,0,(D80/100)*References!$E$214),0)</f>
        <v>0</v>
      </c>
      <c r="AY80" s="695" t="e">
        <f>IF(AW80&gt;0.7*Ventilation!$M28,0.7*Ventilation!$M28,AW80)</f>
        <v>#VALUE!</v>
      </c>
      <c r="AZ80" s="695" t="e">
        <f>IF(AX80&gt;0.7*Ventilation!$M28,0.7*Ventilation!$M28,AX80)</f>
        <v>#VALUE!</v>
      </c>
    </row>
    <row r="81" spans="2:52" x14ac:dyDescent="0.3">
      <c r="B81" s="11">
        <v>10</v>
      </c>
      <c r="C81" s="15" t="str">
        <f>IF(Ventilation!B29="","",Ventilation!B29)</f>
        <v/>
      </c>
      <c r="D81" s="15" t="str">
        <f>IF(Ventilation!C29="","",Ventilation!C29)</f>
        <v/>
      </c>
      <c r="E81" s="15" t="str">
        <f>IF(Ventilation!E29="","",Ventilation!E29)</f>
        <v/>
      </c>
      <c r="F81" s="15" t="str">
        <f>IF(Ventilation!F29="","",Ventilation!F29)</f>
        <v/>
      </c>
      <c r="G81" s="15" t="str">
        <f>IF(Ventilation!G29="","",Ventilation!G29)</f>
        <v/>
      </c>
      <c r="H81" s="15" t="str">
        <f>IF(Ventilation!H29="","",Ventilation!H29)</f>
        <v/>
      </c>
      <c r="I81" s="15" t="str">
        <f>IF(Ventilation!O29="","",Ventilation!O29)</f>
        <v/>
      </c>
      <c r="J81" s="15" t="str">
        <f>IF(Ventilation!P29="","",Ventilation!P29)</f>
        <v/>
      </c>
      <c r="K81" s="15" t="str">
        <f>IF(Ventilation!Q29="","",Ventilation!Q29)</f>
        <v/>
      </c>
      <c r="L81" s="15" t="str">
        <f>IF(Ventilation!S29="","",Ventilation!S29)</f>
        <v/>
      </c>
      <c r="M81" s="15" t="str">
        <f>IF(Ventilation!T29="","",Ventilation!T29)</f>
        <v/>
      </c>
      <c r="N81" s="15" t="str">
        <f>IF(Ventilation!U29="","",Ventilation!U29)</f>
        <v/>
      </c>
      <c r="O81" s="687" t="str">
        <f t="shared" si="63"/>
        <v xml:space="preserve"> </v>
      </c>
      <c r="P81" s="511" t="str">
        <f>IF(C81="","",IF(L81="",INDEX(Ventilation_IEERLookup,MATCH(Calculations!O81,References!$D$190:$D$201,0),2),""))</f>
        <v/>
      </c>
      <c r="Q81" s="511" t="str">
        <f>IF(J81="Electric",IF(M81="",References!$E$187,M81),"")</f>
        <v/>
      </c>
      <c r="R81" s="511" t="str">
        <f>IF(C81="","",IF(N81="",IF(J81="Electric","",IF(J81="Oil",References!$E$185,References!$E$184)),""))</f>
        <v/>
      </c>
      <c r="S81" s="511" t="str">
        <f t="shared" si="64"/>
        <v/>
      </c>
      <c r="T81" s="685">
        <f>IF(OR(S81="",S81="… please select …"),0,INDEX(References!$H$170:$H$176,MATCH(S81,References!$G$170:$G$176,0)))</f>
        <v>0</v>
      </c>
      <c r="U81" s="685">
        <f>IF(OR(S81="",S81="… please select …"),0,INDEX(References!$I$170:$I$176,MATCH(S81,References!$G$170:$G$176,0)))</f>
        <v>0</v>
      </c>
      <c r="Y81" s="269" t="str">
        <f>IF(C81="Energy Recovery Ventilator (ERV)",(D81*G81*References!$D$209*References!$D$208)/(References!$D$207*References!$E$165*References!$E$166),"")</f>
        <v/>
      </c>
      <c r="Z81" s="269" t="str">
        <f t="shared" si="65"/>
        <v/>
      </c>
      <c r="AA81" s="269" t="str">
        <f t="shared" si="66"/>
        <v/>
      </c>
      <c r="AB81" s="269" t="str">
        <f t="shared" si="67"/>
        <v/>
      </c>
      <c r="AC81" s="269" t="e">
        <f>(((References!$D$204*Calculations!D81*Calculations!F81*(References!$E$159-References!$E$160))/(References!$D$210*Calculations!AB81))-Calculations!Y81)*Calculations!T81</f>
        <v>#VALUE!</v>
      </c>
      <c r="AD81" s="269" t="e">
        <f>AC81*References!$B$29</f>
        <v>#VALUE!</v>
      </c>
      <c r="AE81" s="269" t="str">
        <f>IF(AA81="","",(((References!$D$205*D81*E81*(References!$E$161-References!$E$162))/(References!$D$210*AA81))-Calculations!Y81)*Calculations!U81)</f>
        <v/>
      </c>
      <c r="AF81" s="718">
        <f>IFERROR(IF(J81="Electric",AE81*References!$B$29,((References!$D$205*Calculations!D81*Calculations!E81*(References!$E$161-References!$E$162))/(References!$D$206*Calculations!Z81))*Calculations!U81),0)</f>
        <v>0</v>
      </c>
      <c r="AG81" s="718">
        <f t="shared" si="68"/>
        <v>0</v>
      </c>
      <c r="AH81" s="718">
        <f>IFERROR((((References!$D$204*Calculations!D81*Calculations!F81*(References!$E$159-References!$E$160))/(References!$D$210*Calculations!AB81))-Calculations!Y81),0)</f>
        <v>0</v>
      </c>
      <c r="AI81" s="718">
        <f t="shared" si="69"/>
        <v>0</v>
      </c>
      <c r="AJ81" s="269">
        <f>IF(C81="",0,ROUND(References!$E$167*AH81,References!$B$40))</f>
        <v>0</v>
      </c>
      <c r="AK81" s="269" t="str">
        <f>IF(C81="Heat Recovery Ventilator (HRV)",(D81*G81*References!$D$209*References!$D$208)/(References!$D$207*References!$E$165*References!$E$166),"")</f>
        <v/>
      </c>
      <c r="AL81" s="269" t="str">
        <f t="shared" si="60"/>
        <v/>
      </c>
      <c r="AM81" s="269" t="str">
        <f t="shared" si="61"/>
        <v/>
      </c>
      <c r="AN81" s="269" t="str">
        <f t="shared" si="62"/>
        <v/>
      </c>
      <c r="AO81" s="269" t="e">
        <f>(((References!$D$205*Calculations!D81*Calculations!E81*(References!$E$163-References!$E$164))/(References!$D$210*Calculations!AN81))-Calculations!AK81)*Calculations!T81</f>
        <v>#VALUE!</v>
      </c>
      <c r="AP81" s="269" t="e">
        <f>AO81*References!$B$29</f>
        <v>#VALUE!</v>
      </c>
      <c r="AQ81" s="269" t="str">
        <f>IF(AM81="","",(((References!$D$205*D81*E81*(References!$E$161-References!$E$162))/(References!$D$210*Calculations!AM81))-Calculations!AK81)*Calculations!U81)</f>
        <v/>
      </c>
      <c r="AR81" s="269" t="e">
        <f>IF(AL81="",AQ81*References!$B$29,((References!$D$205*Calculations!D81*Calculations!E81*(References!$E$161-References!$E$162))/(References!$D$206*Calculations!AL81))*Calculations!U81)</f>
        <v>#VALUE!</v>
      </c>
      <c r="AS81" s="718">
        <f t="shared" si="70"/>
        <v>0</v>
      </c>
      <c r="AT81" s="718">
        <f>IFERROR(((((References!$D$205*Calculations!D81*Calculations!E81*(References!$E$163-References!$E$164))/(References!$D$210*Calculations!AN81))-Calculations!AK81)),0)</f>
        <v>0</v>
      </c>
      <c r="AU81" s="269">
        <f t="shared" si="71"/>
        <v>0</v>
      </c>
      <c r="AV81" s="269">
        <f>IF(C81="",0,ROUND(References!$E$167*AT81,References!$B$40))</f>
        <v>0</v>
      </c>
      <c r="AW81" s="695">
        <f>IFERROR(IF(AI81=0,0,(D81/100)*References!$E$213),0)</f>
        <v>0</v>
      </c>
      <c r="AX81" s="269">
        <f>IFERROR(IF(AU81=0,0,(D81/100)*References!$E$214),0)</f>
        <v>0</v>
      </c>
      <c r="AY81" s="695" t="e">
        <f>IF(AW81&gt;0.7*Ventilation!$M29,0.7*Ventilation!$M29,AW81)</f>
        <v>#VALUE!</v>
      </c>
      <c r="AZ81" s="695" t="e">
        <f>IF(AX81&gt;0.7*Ventilation!$M29,0.7*Ventilation!$M29,AX81)</f>
        <v>#VALUE!</v>
      </c>
    </row>
    <row r="82" spans="2:52" x14ac:dyDescent="0.3">
      <c r="C82" s="11" t="s">
        <v>2037</v>
      </c>
      <c r="D82" s="11" t="s">
        <v>2037</v>
      </c>
      <c r="E82" s="11" t="s">
        <v>2037</v>
      </c>
      <c r="F82" s="11" t="s">
        <v>2037</v>
      </c>
      <c r="G82" s="11" t="s">
        <v>2037</v>
      </c>
      <c r="H82" s="11" t="s">
        <v>2038</v>
      </c>
      <c r="I82" s="11" t="s">
        <v>2037</v>
      </c>
      <c r="J82" s="11" t="s">
        <v>2037</v>
      </c>
      <c r="K82" s="11" t="s">
        <v>2037</v>
      </c>
      <c r="L82" s="11" t="s">
        <v>2037</v>
      </c>
      <c r="M82" s="11" t="s">
        <v>2037</v>
      </c>
      <c r="N82" s="11" t="s">
        <v>2037</v>
      </c>
      <c r="O82" s="11" t="s">
        <v>2037</v>
      </c>
      <c r="P82" s="11" t="s">
        <v>2037</v>
      </c>
      <c r="Q82" s="11" t="s">
        <v>2037</v>
      </c>
      <c r="R82" s="11" t="s">
        <v>2037</v>
      </c>
      <c r="S82" s="11" t="s">
        <v>2037</v>
      </c>
      <c r="T82" s="11" t="s">
        <v>2037</v>
      </c>
      <c r="U82" s="11" t="s">
        <v>2037</v>
      </c>
      <c r="V82" s="11" t="s">
        <v>2037</v>
      </c>
      <c r="W82" s="11" t="s">
        <v>2037</v>
      </c>
      <c r="X82" s="11" t="s">
        <v>2037</v>
      </c>
    </row>
    <row r="83" spans="2:52" x14ac:dyDescent="0.3">
      <c r="C83" s="11" t="s">
        <v>2037</v>
      </c>
      <c r="D83" s="11" t="s">
        <v>2037</v>
      </c>
      <c r="E83" s="11" t="s">
        <v>2037</v>
      </c>
      <c r="F83" s="11" t="s">
        <v>2037</v>
      </c>
      <c r="G83" s="11" t="s">
        <v>2037</v>
      </c>
      <c r="H83" s="11" t="s">
        <v>2038</v>
      </c>
      <c r="I83" s="11" t="s">
        <v>2037</v>
      </c>
      <c r="J83" s="11" t="s">
        <v>2037</v>
      </c>
      <c r="K83" s="11" t="s">
        <v>2037</v>
      </c>
      <c r="L83" s="11" t="s">
        <v>2037</v>
      </c>
      <c r="M83" s="11" t="s">
        <v>2037</v>
      </c>
      <c r="N83" s="11" t="s">
        <v>2037</v>
      </c>
      <c r="O83" s="11" t="s">
        <v>2037</v>
      </c>
      <c r="P83" s="11" t="s">
        <v>2037</v>
      </c>
      <c r="Q83" s="11" t="s">
        <v>2037</v>
      </c>
      <c r="R83" s="11" t="s">
        <v>2037</v>
      </c>
      <c r="S83" s="11" t="s">
        <v>2037</v>
      </c>
      <c r="T83" s="11" t="s">
        <v>2037</v>
      </c>
      <c r="U83" s="11" t="s">
        <v>2037</v>
      </c>
      <c r="V83" s="11" t="s">
        <v>2037</v>
      </c>
      <c r="W83" s="11" t="s">
        <v>2037</v>
      </c>
      <c r="X83" s="11" t="s">
        <v>2037</v>
      </c>
    </row>
    <row r="84" spans="2:52" x14ac:dyDescent="0.3">
      <c r="C84" s="11" t="s">
        <v>2084</v>
      </c>
      <c r="D84" s="11" t="s">
        <v>2037</v>
      </c>
      <c r="E84" s="11" t="s">
        <v>2037</v>
      </c>
      <c r="F84" s="11" t="s">
        <v>2037</v>
      </c>
      <c r="G84" s="11" t="s">
        <v>2037</v>
      </c>
      <c r="H84" s="11" t="s">
        <v>2038</v>
      </c>
      <c r="I84" s="11" t="s">
        <v>2037</v>
      </c>
      <c r="J84" s="11" t="s">
        <v>2037</v>
      </c>
      <c r="K84" s="11" t="s">
        <v>2037</v>
      </c>
      <c r="L84" s="11" t="s">
        <v>2037</v>
      </c>
      <c r="M84" s="11" t="s">
        <v>2037</v>
      </c>
      <c r="N84" s="11" t="s">
        <v>2037</v>
      </c>
      <c r="O84" s="11" t="s">
        <v>2037</v>
      </c>
      <c r="P84" s="11" t="s">
        <v>2037</v>
      </c>
      <c r="Q84" s="11" t="s">
        <v>2037</v>
      </c>
      <c r="R84" s="11" t="s">
        <v>2037</v>
      </c>
      <c r="S84" s="11" t="s">
        <v>2037</v>
      </c>
      <c r="T84" s="11" t="s">
        <v>2037</v>
      </c>
      <c r="U84" s="11" t="s">
        <v>2037</v>
      </c>
      <c r="V84" s="11" t="s">
        <v>2037</v>
      </c>
      <c r="W84" s="11" t="s">
        <v>2037</v>
      </c>
      <c r="X84" s="11" t="s">
        <v>2037</v>
      </c>
    </row>
    <row r="85" spans="2:52" ht="14.5" customHeight="1" x14ac:dyDescent="0.3">
      <c r="C85" s="1144" t="s">
        <v>46</v>
      </c>
      <c r="D85" s="1145"/>
      <c r="E85" s="1145"/>
      <c r="F85" s="1145"/>
      <c r="G85" s="1145"/>
      <c r="H85" s="1146"/>
      <c r="I85" s="1147" t="s">
        <v>45</v>
      </c>
      <c r="J85" s="1148"/>
      <c r="K85" s="1148"/>
      <c r="L85" s="1148"/>
      <c r="M85" s="1148"/>
      <c r="O85" s="1147" t="s">
        <v>2085</v>
      </c>
      <c r="P85" s="1148"/>
      <c r="Q85" s="1148"/>
      <c r="R85" s="1148"/>
      <c r="S85" s="1148"/>
      <c r="T85" s="1148"/>
      <c r="U85" s="1148"/>
      <c r="V85" s="832" t="s">
        <v>38</v>
      </c>
      <c r="W85" s="832"/>
      <c r="Y85" s="979"/>
      <c r="Z85" s="979"/>
    </row>
    <row r="86" spans="2:52" ht="44.5" customHeight="1" x14ac:dyDescent="0.3">
      <c r="C86" s="696" t="s">
        <v>1999</v>
      </c>
      <c r="D86" s="697" t="s">
        <v>2016</v>
      </c>
      <c r="E86" s="696" t="s">
        <v>2301</v>
      </c>
      <c r="F86" s="697" t="s">
        <v>2304</v>
      </c>
      <c r="G86" s="697" t="s">
        <v>1998</v>
      </c>
      <c r="H86" s="697" t="s">
        <v>2305</v>
      </c>
      <c r="I86" s="697" t="s">
        <v>2100</v>
      </c>
      <c r="J86" s="696" t="s">
        <v>2000</v>
      </c>
      <c r="K86" s="696" t="s">
        <v>2301</v>
      </c>
      <c r="L86" s="697" t="s">
        <v>2304</v>
      </c>
      <c r="M86" s="697" t="s">
        <v>1998</v>
      </c>
      <c r="O86" s="690" t="s">
        <v>2086</v>
      </c>
      <c r="P86" s="690" t="s">
        <v>2307</v>
      </c>
      <c r="Q86" s="690" t="s">
        <v>2301</v>
      </c>
      <c r="R86" s="691" t="s">
        <v>2087</v>
      </c>
      <c r="S86" s="691" t="s">
        <v>2088</v>
      </c>
      <c r="T86" s="691" t="s">
        <v>1685</v>
      </c>
      <c r="U86" s="691" t="s">
        <v>2159</v>
      </c>
      <c r="V86" s="693" t="s">
        <v>2101</v>
      </c>
      <c r="W86" s="693" t="s">
        <v>990</v>
      </c>
      <c r="Y86" s="979" t="s">
        <v>2037</v>
      </c>
      <c r="Z86" s="979" t="s">
        <v>2037</v>
      </c>
    </row>
    <row r="87" spans="2:52" x14ac:dyDescent="0.3">
      <c r="B87" s="11" t="s">
        <v>2106</v>
      </c>
      <c r="C87" s="712" t="str">
        <f>IF(Ventilation!B35="","",Ventilation!B35)</f>
        <v>24 Feet HVLS</v>
      </c>
      <c r="D87" s="712" t="str">
        <f>IF(Ventilation!C35="","",Ventilation!C35)</f>
        <v>Existing Building</v>
      </c>
      <c r="E87" s="712">
        <f>IF(Ventilation!E35="","",Ventilation!E35)</f>
        <v>20000</v>
      </c>
      <c r="F87" s="712">
        <f>IF(Ventilation!F35="","",Ventilation!F35)</f>
        <v>200</v>
      </c>
      <c r="G87" s="712">
        <f>IF(Ventilation!G35="","",Ventilation!G35)</f>
        <v>5</v>
      </c>
      <c r="H87" s="980">
        <f>IF(Ventilation!I35="Yes",References!$K$168,References!$K$169)</f>
        <v>0.75</v>
      </c>
      <c r="I87" s="712">
        <f>IF(Ventilation!H35="",References!$H$160,Ventilation!H35)</f>
        <v>5000</v>
      </c>
      <c r="J87" s="712" t="str">
        <f>IF(Ventilation!O35="","",Ventilation!O35)</f>
        <v>48" - 52" Diameter</v>
      </c>
      <c r="K87" s="712">
        <f>IF(Ventilation!P35="","",Ventilation!P35)</f>
        <v>20000</v>
      </c>
      <c r="L87" s="712">
        <f>IF(Ventilation!Q35="","",Ventilation!Q35)</f>
        <v>15</v>
      </c>
      <c r="M87" s="712">
        <f>IF(Ventilation!R35="","",Ventilation!R35)</f>
        <v>5</v>
      </c>
      <c r="O87" s="714">
        <f>IF(OR(D87="New Construction",M87=""),References!$H$163,Calculations!M87)</f>
        <v>5</v>
      </c>
      <c r="P87" s="714">
        <f>IF(OR(D87="New Construction",L87=""),References!$H$161,Calculations!L87)</f>
        <v>15</v>
      </c>
      <c r="Q87" s="714">
        <f>IF(OR(D87="New Construction",K87=""),E87,Calculations!K87)</f>
        <v>20000</v>
      </c>
      <c r="R87" s="716">
        <f>IFERROR(((O87*(Q87/P87))-(G87*(E87/F87)))*I87/References!$H$164,0)</f>
        <v>30833.333333333332</v>
      </c>
      <c r="S87" s="717">
        <f>IFERROR(R87/References!$H$160*References!$H$162,0)</f>
        <v>4.9452018176958035</v>
      </c>
      <c r="T87" s="717">
        <f>IFERROR(R87*References!$B$29,0)</f>
        <v>105.20333333333333</v>
      </c>
      <c r="U87" s="717"/>
      <c r="V87" s="715">
        <f>INDEX(References!$F$218:$F$226,MATCH(Calculations!C87,References!$D$218:$D$226,0))</f>
        <v>24</v>
      </c>
      <c r="W87" s="714">
        <f>IFERROR(INDEX(References!$E$218:$E$226,MATCH(V87,References!$F$218:$F$226,0))*G87,0)</f>
        <v>6000</v>
      </c>
      <c r="Y87" s="979" t="s">
        <v>2037</v>
      </c>
      <c r="Z87" s="979" t="s">
        <v>2037</v>
      </c>
    </row>
    <row r="88" spans="2:52" x14ac:dyDescent="0.3">
      <c r="B88" s="11">
        <v>1</v>
      </c>
      <c r="C88" s="511" t="str">
        <f>IF(Ventilation!B36="","",Ventilation!B36)</f>
        <v/>
      </c>
      <c r="D88" s="511" t="str">
        <f>IF(Ventilation!C36="","",Ventilation!C36)</f>
        <v/>
      </c>
      <c r="E88" s="511" t="str">
        <f>IF(Ventilation!E36="","",Ventilation!E36)</f>
        <v/>
      </c>
      <c r="F88" s="511" t="str">
        <f>IF(Ventilation!F36="","",Ventilation!F36)</f>
        <v/>
      </c>
      <c r="G88" s="511" t="str">
        <f>IF(Ventilation!G36="","",Ventilation!G36)</f>
        <v/>
      </c>
      <c r="H88" s="981">
        <f>IF(Ventilation!I36="Yes",References!$K$168,References!$K$169)</f>
        <v>1</v>
      </c>
      <c r="I88" s="511">
        <f>IF(Ventilation!H36="",References!$H$160,Ventilation!H36)</f>
        <v>4988</v>
      </c>
      <c r="J88" s="511" t="str">
        <f>IF(Ventilation!O36="","",Ventilation!O36)</f>
        <v/>
      </c>
      <c r="K88" s="511" t="str">
        <f>IF(Ventilation!P36="",E88,Ventilation!P36)</f>
        <v/>
      </c>
      <c r="L88" s="511">
        <f>IF(AND(J88="",Ventilation!Q36=""),References!$K$165,IF(Ventilation!Q36="",VLOOKUP(J88,References!$J$161:$K$164,2),Ventilation!Q36))</f>
        <v>16</v>
      </c>
      <c r="M88" s="511" t="str">
        <f>IFERROR(IF(Ventilation!R36="",5*G88,Ventilation!R36),"")</f>
        <v/>
      </c>
      <c r="O88" s="718">
        <f>IF(OR(D88="New Construction",M88=""),References!$H$163,Calculations!M88)</f>
        <v>5</v>
      </c>
      <c r="P88" s="718">
        <f>IF(OR(D88="New Construction",L88=""),References!$H$161,Calculations!L88)</f>
        <v>16</v>
      </c>
      <c r="Q88" s="718" t="str">
        <f>IF(OR(D88="New Construction",K88=""),E88,Calculations!K88)</f>
        <v/>
      </c>
      <c r="R88" s="721" t="e">
        <f>(((O88*Q88)/P88)-(((G88*E88)/F88)*H88))*I88</f>
        <v>#VALUE!</v>
      </c>
      <c r="S88" s="719" t="str">
        <f>IFERROR(R88/I88,"")</f>
        <v/>
      </c>
      <c r="T88" s="699">
        <f>IFERROR(R88*References!$B$29,0)</f>
        <v>0</v>
      </c>
      <c r="U88" s="699">
        <f>IF(C88="",0,ROUND(References!$H$162*S88,References!$B$40))</f>
        <v>0</v>
      </c>
      <c r="V88" s="695" t="e">
        <f>INDEX(References!$F$218:$F$226,MATCH(Calculations!C88,References!$D$218:$D$226,0))</f>
        <v>#N/A</v>
      </c>
      <c r="W88" s="718" t="str">
        <f>IFERROR(IF(OR(T88&lt;=0,T88=""),"",INDEX(References!$E$218:$E$226,MATCH(V88,References!$F$218:$F$226,0))*G88),0)</f>
        <v/>
      </c>
      <c r="Y88" s="979" t="s">
        <v>2037</v>
      </c>
      <c r="Z88" s="979" t="s">
        <v>2037</v>
      </c>
    </row>
    <row r="89" spans="2:52" x14ac:dyDescent="0.3">
      <c r="B89" s="11">
        <v>2</v>
      </c>
      <c r="C89" s="511" t="str">
        <f>IF(Ventilation!B37="","",Ventilation!B37)</f>
        <v/>
      </c>
      <c r="D89" s="511" t="str">
        <f>IF(Ventilation!C37="","",Ventilation!C37)</f>
        <v/>
      </c>
      <c r="E89" s="511" t="str">
        <f>IF(Ventilation!E37="","",Ventilation!E37)</f>
        <v/>
      </c>
      <c r="F89" s="511" t="str">
        <f>IF(Ventilation!F37="","",Ventilation!F37)</f>
        <v/>
      </c>
      <c r="G89" s="511" t="str">
        <f>IF(Ventilation!G37="","",Ventilation!G37)</f>
        <v/>
      </c>
      <c r="H89" s="981">
        <f>IF(Ventilation!I37="Yes",References!$K$168,References!$K$169)</f>
        <v>1</v>
      </c>
      <c r="I89" s="511">
        <f>IF(Ventilation!H37="",References!$H$160,Ventilation!H37)</f>
        <v>4988</v>
      </c>
      <c r="J89" s="511" t="str">
        <f>IF(Ventilation!O37="","",Ventilation!O37)</f>
        <v/>
      </c>
      <c r="K89" s="511" t="str">
        <f>IF(Ventilation!P37="",E89,Ventilation!P37)</f>
        <v/>
      </c>
      <c r="L89" s="511">
        <f>IF(AND(J89="",Ventilation!Q37=""),References!$K$165,IF(Ventilation!Q37="",VLOOKUP(J89,References!$J$161:$K$164,2),Ventilation!Q37))</f>
        <v>16</v>
      </c>
      <c r="M89" s="511" t="str">
        <f>IFERROR(IF(Ventilation!R37="",5*G89,Ventilation!R37),"")</f>
        <v/>
      </c>
      <c r="O89" s="718">
        <f>IF(OR(D89="New Construction",M89=""),References!$H$163,Calculations!M89)</f>
        <v>5</v>
      </c>
      <c r="P89" s="718">
        <f>IF(OR(D89="New Construction",L89=""),References!$H$161,Calculations!L89)</f>
        <v>16</v>
      </c>
      <c r="Q89" s="718" t="str">
        <f>IF(OR(D89="New Construction",K89=""),E89,Calculations!K89)</f>
        <v/>
      </c>
      <c r="R89" s="721">
        <f>IFERROR(((O89*(Q89/P89))-(G89*(E89/F89)))*I89/References!$H$164/G89,0)</f>
        <v>0</v>
      </c>
      <c r="S89" s="719">
        <f>IFERROR(R89/References!$H$160,0)</f>
        <v>0</v>
      </c>
      <c r="T89" s="699">
        <f>IFERROR(R89*References!$B$29,0)</f>
        <v>0</v>
      </c>
      <c r="U89" s="699">
        <f>IF(C89="",0,ROUND(References!$H$162*S89,References!$B$40))</f>
        <v>0</v>
      </c>
      <c r="V89" s="695" t="e">
        <f>INDEX(References!$F$218:$F$226,MATCH(Calculations!C89,References!$D$218:$D$226,0))</f>
        <v>#N/A</v>
      </c>
      <c r="W89" s="718" t="str">
        <f>IFERROR(IF(OR(T89&lt;=0,T89=""),"",INDEX(References!$E$218:$E$226,MATCH(V89,References!$F$218:$F$226,0))*G89),0)</f>
        <v/>
      </c>
      <c r="Y89" s="979" t="s">
        <v>2037</v>
      </c>
      <c r="Z89" s="979" t="s">
        <v>2037</v>
      </c>
    </row>
    <row r="90" spans="2:52" x14ac:dyDescent="0.3">
      <c r="B90" s="11">
        <v>3</v>
      </c>
      <c r="C90" s="511" t="str">
        <f>IF(Ventilation!B38="","",Ventilation!B38)</f>
        <v/>
      </c>
      <c r="D90" s="511" t="str">
        <f>IF(Ventilation!C38="","",Ventilation!C38)</f>
        <v/>
      </c>
      <c r="E90" s="511" t="str">
        <f>IF(Ventilation!E38="","",Ventilation!E38)</f>
        <v/>
      </c>
      <c r="F90" s="511" t="str">
        <f>IF(Ventilation!F38="","",Ventilation!F38)</f>
        <v/>
      </c>
      <c r="G90" s="511" t="str">
        <f>IF(Ventilation!G38="","",Ventilation!G38)</f>
        <v/>
      </c>
      <c r="H90" s="981">
        <f>IF(Ventilation!I38="Yes",References!$K$168,References!$K$169)</f>
        <v>1</v>
      </c>
      <c r="I90" s="511">
        <f>IF(Ventilation!H38="",References!$H$160,Ventilation!H38)</f>
        <v>4988</v>
      </c>
      <c r="J90" s="511" t="str">
        <f>IF(Ventilation!O38="","",Ventilation!O38)</f>
        <v/>
      </c>
      <c r="K90" s="511" t="str">
        <f>IF(Ventilation!P38="",E90,Ventilation!P38)</f>
        <v/>
      </c>
      <c r="L90" s="511">
        <f>IF(AND(J90="",Ventilation!Q38=""),References!$K$165,IF(Ventilation!Q38="",VLOOKUP(J90,References!$J$161:$K$164,2),Ventilation!Q38))</f>
        <v>16</v>
      </c>
      <c r="M90" s="511" t="str">
        <f>IFERROR(IF(Ventilation!R38="",5*G90,Ventilation!R38),"")</f>
        <v/>
      </c>
      <c r="O90" s="718">
        <f>IF(OR(D90="New Construction",M90=""),References!$H$163,Calculations!M90)</f>
        <v>5</v>
      </c>
      <c r="P90" s="718">
        <f>IF(OR(D90="New Construction",L90=""),References!$H$161,Calculations!L90)</f>
        <v>16</v>
      </c>
      <c r="Q90" s="718" t="str">
        <f>IF(OR(D90="New Construction",K90=""),E90,Calculations!K90)</f>
        <v/>
      </c>
      <c r="R90" s="721">
        <f>IFERROR(((O90*(Q90/P90))-(G90*(E90/F90)))*I90/References!$H$164/G90,0)</f>
        <v>0</v>
      </c>
      <c r="S90" s="719">
        <f>IFERROR(R90/References!$H$160,0)</f>
        <v>0</v>
      </c>
      <c r="T90" s="699">
        <f>IFERROR(R90*References!$B$29,0)</f>
        <v>0</v>
      </c>
      <c r="U90" s="699">
        <f>IF(C90="",0,ROUND(References!$H$162*S90,References!$B$40))</f>
        <v>0</v>
      </c>
      <c r="V90" s="695" t="e">
        <f>INDEX(References!$F$218:$F$226,MATCH(Calculations!C90,References!$D$218:$D$226,0))</f>
        <v>#N/A</v>
      </c>
      <c r="W90" s="718" t="str">
        <f>IFERROR(IF(OR(T90&lt;=0,T90=""),"",INDEX(References!$E$218:$E$226,MATCH(V90,References!$F$218:$F$226,0))*G90),0)</f>
        <v/>
      </c>
      <c r="Y90" s="979" t="s">
        <v>2037</v>
      </c>
      <c r="Z90" s="979" t="s">
        <v>2037</v>
      </c>
    </row>
    <row r="91" spans="2:52" x14ac:dyDescent="0.3">
      <c r="B91" s="11">
        <v>4</v>
      </c>
      <c r="C91" s="511" t="str">
        <f>IF(Ventilation!B39="","",Ventilation!B39)</f>
        <v/>
      </c>
      <c r="D91" s="511" t="str">
        <f>IF(Ventilation!C39="","",Ventilation!C39)</f>
        <v/>
      </c>
      <c r="E91" s="511" t="str">
        <f>IF(Ventilation!E39="","",Ventilation!E39)</f>
        <v/>
      </c>
      <c r="F91" s="511" t="str">
        <f>IF(Ventilation!F39="","",Ventilation!F39)</f>
        <v/>
      </c>
      <c r="G91" s="511" t="str">
        <f>IF(Ventilation!G39="","",Ventilation!G39)</f>
        <v/>
      </c>
      <c r="H91" s="981">
        <f>IF(Ventilation!I39="Yes",References!$K$168,References!$K$169)</f>
        <v>1</v>
      </c>
      <c r="I91" s="511">
        <f>IF(Ventilation!H39="",References!$H$160,Ventilation!H39)</f>
        <v>4988</v>
      </c>
      <c r="J91" s="511" t="str">
        <f>IF(Ventilation!O39="","",Ventilation!O39)</f>
        <v/>
      </c>
      <c r="K91" s="511" t="str">
        <f>IF(Ventilation!P39="",E91,Ventilation!P39)</f>
        <v/>
      </c>
      <c r="L91" s="511">
        <f>IF(AND(J91="",Ventilation!Q39=""),References!$K$165,IF(Ventilation!Q39="",VLOOKUP(J91,References!$J$161:$K$164,2),Ventilation!Q39))</f>
        <v>16</v>
      </c>
      <c r="M91" s="511" t="str">
        <f>IFERROR(IF(Ventilation!R39="",5*G91,Ventilation!R39),"")</f>
        <v/>
      </c>
      <c r="O91" s="718">
        <f>IF(OR(D91="New Construction",M91=""),References!$H$163,Calculations!M91)</f>
        <v>5</v>
      </c>
      <c r="P91" s="718">
        <f>IF(OR(D91="New Construction",L91=""),References!$H$161,Calculations!L91)</f>
        <v>16</v>
      </c>
      <c r="Q91" s="718" t="str">
        <f>IF(OR(D91="New Construction",K91=""),E91,Calculations!K91)</f>
        <v/>
      </c>
      <c r="R91" s="721">
        <f>IFERROR(((O91*(Q91/P91))-(G91*(E91/F91)))*I91/References!$H$164/G91,0)</f>
        <v>0</v>
      </c>
      <c r="S91" s="719">
        <f>IFERROR(R91/References!$H$160,0)</f>
        <v>0</v>
      </c>
      <c r="T91" s="699">
        <f>IFERROR(R91*References!$B$29,0)</f>
        <v>0</v>
      </c>
      <c r="U91" s="699">
        <f>IF(C91="",0,ROUND(References!$H$162*S91,References!$B$40))</f>
        <v>0</v>
      </c>
      <c r="V91" s="695" t="e">
        <f>INDEX(References!$F$218:$F$226,MATCH(Calculations!C91,References!$D$218:$D$226,0))</f>
        <v>#N/A</v>
      </c>
      <c r="W91" s="718" t="str">
        <f>IFERROR(IF(OR(T91&lt;=0,T91=""),"",INDEX(References!$E$218:$E$226,MATCH(V91,References!$F$218:$F$226,0))*G91),0)</f>
        <v/>
      </c>
      <c r="Y91" s="979" t="s">
        <v>2037</v>
      </c>
      <c r="Z91" s="979" t="s">
        <v>2037</v>
      </c>
    </row>
    <row r="92" spans="2:52" x14ac:dyDescent="0.3">
      <c r="B92" s="11">
        <v>5</v>
      </c>
      <c r="C92" s="511" t="str">
        <f>IF(Ventilation!B40="","",Ventilation!B40)</f>
        <v/>
      </c>
      <c r="D92" s="511" t="str">
        <f>IF(Ventilation!C40="","",Ventilation!C40)</f>
        <v/>
      </c>
      <c r="E92" s="511" t="str">
        <f>IF(Ventilation!E40="","",Ventilation!E40)</f>
        <v/>
      </c>
      <c r="F92" s="511" t="str">
        <f>IF(Ventilation!F40="","",Ventilation!F40)</f>
        <v/>
      </c>
      <c r="G92" s="511" t="str">
        <f>IF(Ventilation!G40="","",Ventilation!G40)</f>
        <v/>
      </c>
      <c r="H92" s="981">
        <f>IF(Ventilation!I40="Yes",References!$K$168,References!$K$169)</f>
        <v>1</v>
      </c>
      <c r="I92" s="511">
        <f>IF(Ventilation!H40="",References!$H$160,Ventilation!H40)</f>
        <v>4988</v>
      </c>
      <c r="J92" s="511" t="str">
        <f>IF(Ventilation!O40="","",Ventilation!O40)</f>
        <v/>
      </c>
      <c r="K92" s="511" t="str">
        <f>IF(Ventilation!P40="",E92,Ventilation!P40)</f>
        <v/>
      </c>
      <c r="L92" s="511">
        <f>IF(AND(J92="",Ventilation!Q40=""),References!$K$165,IF(Ventilation!Q40="",VLOOKUP(J92,References!$J$161:$K$164,2),Ventilation!Q40))</f>
        <v>16</v>
      </c>
      <c r="M92" s="511" t="str">
        <f>IFERROR(IF(Ventilation!R40="",5*G92,Ventilation!R40),"")</f>
        <v/>
      </c>
      <c r="O92" s="718">
        <f>IF(OR(D92="New Construction",M92=""),References!$H$163,Calculations!M92)</f>
        <v>5</v>
      </c>
      <c r="P92" s="718">
        <f>IF(OR(D92="New Construction",L92=""),References!$H$161,Calculations!L92)</f>
        <v>16</v>
      </c>
      <c r="Q92" s="718" t="str">
        <f>IF(OR(D92="New Construction",K92=""),E92,Calculations!K92)</f>
        <v/>
      </c>
      <c r="R92" s="721">
        <f>IFERROR(((O92*(Q92/P92))-(G92*(E92/F92)))*I92/References!$H$164/G92,0)</f>
        <v>0</v>
      </c>
      <c r="S92" s="719">
        <f>IFERROR(R92/References!$H$160,0)</f>
        <v>0</v>
      </c>
      <c r="T92" s="699">
        <f>IFERROR(R92*References!$B$29,0)</f>
        <v>0</v>
      </c>
      <c r="U92" s="699">
        <f>IF(C92="",0,ROUND(References!$H$162*S92,References!$B$40))</f>
        <v>0</v>
      </c>
      <c r="V92" s="695" t="e">
        <f>INDEX(References!$F$218:$F$226,MATCH(Calculations!C92,References!$D$218:$D$226,0))</f>
        <v>#N/A</v>
      </c>
      <c r="W92" s="718" t="str">
        <f>IFERROR(IF(OR(T92&lt;=0,T92=""),"",INDEX(References!$E$218:$E$226,MATCH(V92,References!$F$218:$F$226,0))*G92),0)</f>
        <v/>
      </c>
      <c r="Y92" s="979" t="s">
        <v>2037</v>
      </c>
      <c r="Z92" s="979" t="s">
        <v>2037</v>
      </c>
    </row>
    <row r="93" spans="2:52" x14ac:dyDescent="0.3">
      <c r="B93" s="11">
        <v>6</v>
      </c>
      <c r="C93" s="511" t="str">
        <f>IF(Ventilation!B41="","",Ventilation!B41)</f>
        <v/>
      </c>
      <c r="D93" s="511" t="str">
        <f>IF(Ventilation!C41="","",Ventilation!C41)</f>
        <v/>
      </c>
      <c r="E93" s="511" t="str">
        <f>IF(Ventilation!E41="","",Ventilation!E41)</f>
        <v/>
      </c>
      <c r="F93" s="511" t="str">
        <f>IF(Ventilation!F41="","",Ventilation!F41)</f>
        <v/>
      </c>
      <c r="G93" s="511" t="str">
        <f>IF(Ventilation!G41="","",Ventilation!G41)</f>
        <v/>
      </c>
      <c r="H93" s="981">
        <f>IF(Ventilation!I41="Yes",References!$K$168,References!$K$169)</f>
        <v>1</v>
      </c>
      <c r="I93" s="511">
        <f>IF(Ventilation!H41="",References!$H$160,Ventilation!H41)</f>
        <v>4988</v>
      </c>
      <c r="J93" s="511" t="str">
        <f>IF(Ventilation!O41="","",Ventilation!O41)</f>
        <v/>
      </c>
      <c r="K93" s="511" t="str">
        <f>IF(Ventilation!P41="",E93,Ventilation!P41)</f>
        <v/>
      </c>
      <c r="L93" s="511">
        <f>IF(AND(J93="",Ventilation!Q41=""),References!$K$165,IF(Ventilation!Q41="",VLOOKUP(J93,References!$J$161:$K$164,2),Ventilation!Q41))</f>
        <v>16</v>
      </c>
      <c r="M93" s="511" t="str">
        <f>IFERROR(IF(Ventilation!R41="",5*G93,Ventilation!R41),"")</f>
        <v/>
      </c>
      <c r="O93" s="718">
        <f>IF(OR(D93="New Construction",M93=""),References!$H$163,Calculations!M93)</f>
        <v>5</v>
      </c>
      <c r="P93" s="718">
        <f>IF(OR(D93="New Construction",L93=""),References!$H$161,Calculations!L93)</f>
        <v>16</v>
      </c>
      <c r="Q93" s="718" t="str">
        <f>IF(OR(D93="New Construction",K93=""),E93,Calculations!K93)</f>
        <v/>
      </c>
      <c r="R93" s="721">
        <f>IFERROR(((O93*(Q93/P93))-(G93*(E93/F93)))*I93/References!$H$164/G93,0)</f>
        <v>0</v>
      </c>
      <c r="S93" s="719">
        <f>IFERROR(R93/References!$H$160,0)</f>
        <v>0</v>
      </c>
      <c r="T93" s="699">
        <f>IFERROR(R93*References!$B$29,0)</f>
        <v>0</v>
      </c>
      <c r="U93" s="699">
        <f>IF(C93="",0,ROUND(References!$H$162*S93,References!$B$40))</f>
        <v>0</v>
      </c>
      <c r="V93" s="695" t="e">
        <f>INDEX(References!$F$218:$F$226,MATCH(Calculations!C93,References!$D$218:$D$226,0))</f>
        <v>#N/A</v>
      </c>
      <c r="W93" s="718" t="str">
        <f>IFERROR(IF(OR(T93&lt;=0,T93=""),"",INDEX(References!$E$218:$E$226,MATCH(V93,References!$F$218:$F$226,0))*G93),0)</f>
        <v/>
      </c>
      <c r="Y93" s="979" t="s">
        <v>2037</v>
      </c>
      <c r="Z93" s="979" t="s">
        <v>2037</v>
      </c>
    </row>
    <row r="94" spans="2:52" x14ac:dyDescent="0.3">
      <c r="B94" s="11">
        <v>7</v>
      </c>
      <c r="C94" s="511" t="str">
        <f>IF(Ventilation!B42="","",Ventilation!B42)</f>
        <v/>
      </c>
      <c r="D94" s="511" t="str">
        <f>IF(Ventilation!C42="","",Ventilation!C42)</f>
        <v/>
      </c>
      <c r="E94" s="511" t="str">
        <f>IF(Ventilation!E42="","",Ventilation!E42)</f>
        <v/>
      </c>
      <c r="F94" s="511" t="str">
        <f>IF(Ventilation!F42="","",Ventilation!F42)</f>
        <v/>
      </c>
      <c r="G94" s="511" t="str">
        <f>IF(Ventilation!G42="","",Ventilation!G42)</f>
        <v/>
      </c>
      <c r="H94" s="981">
        <f>IF(Ventilation!I42="Yes",References!$K$168,References!$K$169)</f>
        <v>1</v>
      </c>
      <c r="I94" s="511">
        <f>IF(Ventilation!H42="",References!$H$160,Ventilation!H42)</f>
        <v>4988</v>
      </c>
      <c r="J94" s="511" t="str">
        <f>IF(Ventilation!O42="","",Ventilation!O42)</f>
        <v/>
      </c>
      <c r="K94" s="511" t="str">
        <f>IF(Ventilation!P42="",E94,Ventilation!P42)</f>
        <v/>
      </c>
      <c r="L94" s="511">
        <f>IF(AND(J94="",Ventilation!Q42=""),References!$K$165,IF(Ventilation!Q42="",VLOOKUP(J94,References!$J$161:$K$164,2),Ventilation!Q42))</f>
        <v>16</v>
      </c>
      <c r="M94" s="511" t="str">
        <f>IFERROR(IF(Ventilation!R42="",5*G94,Ventilation!R42),"")</f>
        <v/>
      </c>
      <c r="O94" s="718">
        <f>IF(OR(D94="New Construction",M94=""),References!$H$163,Calculations!M94)</f>
        <v>5</v>
      </c>
      <c r="P94" s="718">
        <f>IF(OR(D94="New Construction",L94=""),References!$H$161,Calculations!L94)</f>
        <v>16</v>
      </c>
      <c r="Q94" s="718" t="str">
        <f>IF(OR(D94="New Construction",K94=""),E94,Calculations!K94)</f>
        <v/>
      </c>
      <c r="R94" s="721">
        <f>IFERROR(((O94*(Q94/P94))-(G94*(E94/F94)))*I94/References!$H$164/G94,0)</f>
        <v>0</v>
      </c>
      <c r="S94" s="719">
        <f>IFERROR(R94/References!$H$160,0)</f>
        <v>0</v>
      </c>
      <c r="T94" s="699">
        <f>IFERROR(R94*References!$B$29,0)</f>
        <v>0</v>
      </c>
      <c r="U94" s="699">
        <f>IF(C94="",0,ROUND(References!$H$162*S94,References!$B$40))</f>
        <v>0</v>
      </c>
      <c r="V94" s="695" t="e">
        <f>INDEX(References!$F$218:$F$226,MATCH(Calculations!C94,References!$D$218:$D$226,0))</f>
        <v>#N/A</v>
      </c>
      <c r="W94" s="718" t="str">
        <f>IFERROR(IF(OR(T94&lt;=0,T94=""),"",INDEX(References!$E$218:$E$226,MATCH(V94,References!$F$218:$F$226,0))*G94),0)</f>
        <v/>
      </c>
      <c r="Y94" s="979" t="s">
        <v>2037</v>
      </c>
      <c r="Z94" s="979" t="s">
        <v>2037</v>
      </c>
    </row>
    <row r="95" spans="2:52" x14ac:dyDescent="0.3">
      <c r="B95" s="11">
        <v>8</v>
      </c>
      <c r="C95" s="511" t="str">
        <f>IF(Ventilation!B43="","",Ventilation!B43)</f>
        <v/>
      </c>
      <c r="D95" s="511" t="str">
        <f>IF(Ventilation!C43="","",Ventilation!C43)</f>
        <v/>
      </c>
      <c r="E95" s="511" t="str">
        <f>IF(Ventilation!E43="","",Ventilation!E43)</f>
        <v/>
      </c>
      <c r="F95" s="511" t="str">
        <f>IF(Ventilation!F43="","",Ventilation!F43)</f>
        <v/>
      </c>
      <c r="G95" s="511" t="str">
        <f>IF(Ventilation!G43="","",Ventilation!G43)</f>
        <v/>
      </c>
      <c r="H95" s="981">
        <f>IF(Ventilation!I43="Yes",References!$K$168,References!$K$169)</f>
        <v>1</v>
      </c>
      <c r="I95" s="511">
        <f>IF(Ventilation!H43="",References!$H$160,Ventilation!H43)</f>
        <v>4988</v>
      </c>
      <c r="J95" s="511" t="str">
        <f>IF(Ventilation!O43="","",Ventilation!O43)</f>
        <v/>
      </c>
      <c r="K95" s="511" t="str">
        <f>IF(Ventilation!P43="",E95,Ventilation!P43)</f>
        <v/>
      </c>
      <c r="L95" s="511">
        <f>IF(AND(J95="",Ventilation!Q43=""),References!$K$165,IF(Ventilation!Q43="",VLOOKUP(J95,References!$J$161:$K$164,2),Ventilation!Q43))</f>
        <v>16</v>
      </c>
      <c r="M95" s="511" t="str">
        <f>IFERROR(IF(Ventilation!R43="",5*G95,Ventilation!R43),"")</f>
        <v/>
      </c>
      <c r="O95" s="718">
        <f>IF(OR(D95="New Construction",M95=""),References!$H$163,Calculations!M95)</f>
        <v>5</v>
      </c>
      <c r="P95" s="718">
        <f>IF(OR(D95="New Construction",L95=""),References!$H$161,Calculations!L95)</f>
        <v>16</v>
      </c>
      <c r="Q95" s="718" t="str">
        <f>IF(OR(D95="New Construction",K95=""),E95,Calculations!K95)</f>
        <v/>
      </c>
      <c r="R95" s="721">
        <f>IFERROR(((O95*(Q95/P95))-(G95*(E95/F95)))*I95/References!$H$164/G95,0)</f>
        <v>0</v>
      </c>
      <c r="S95" s="719">
        <f>IFERROR(R95/References!$H$160,0)</f>
        <v>0</v>
      </c>
      <c r="T95" s="699">
        <f>IFERROR(R95*References!$B$29,0)</f>
        <v>0</v>
      </c>
      <c r="U95" s="699">
        <f>IF(C95="",0,ROUND(References!$H$162*S95,References!$B$40))</f>
        <v>0</v>
      </c>
      <c r="V95" s="695" t="e">
        <f>INDEX(References!$F$218:$F$226,MATCH(Calculations!C95,References!$D$218:$D$226,0))</f>
        <v>#N/A</v>
      </c>
      <c r="W95" s="718" t="str">
        <f>IFERROR(IF(OR(T95&lt;=0,T95=""),"",INDEX(References!$E$218:$E$226,MATCH(V95,References!$F$218:$F$226,0))*G95),0)</f>
        <v/>
      </c>
      <c r="Y95" s="979"/>
      <c r="Z95" s="979"/>
    </row>
    <row r="96" spans="2:52" x14ac:dyDescent="0.3">
      <c r="B96" s="11">
        <v>9</v>
      </c>
      <c r="C96" s="511" t="str">
        <f>IF(Ventilation!B44="","",Ventilation!B44)</f>
        <v/>
      </c>
      <c r="D96" s="511" t="str">
        <f>IF(Ventilation!C44="","",Ventilation!C44)</f>
        <v/>
      </c>
      <c r="E96" s="511" t="str">
        <f>IF(Ventilation!E44="","",Ventilation!E44)</f>
        <v/>
      </c>
      <c r="F96" s="511" t="str">
        <f>IF(Ventilation!F44="","",Ventilation!F44)</f>
        <v/>
      </c>
      <c r="G96" s="511" t="str">
        <f>IF(Ventilation!G44="","",Ventilation!G44)</f>
        <v/>
      </c>
      <c r="H96" s="981">
        <f>IF(Ventilation!I44="Yes",References!$K$168,References!$K$169)</f>
        <v>1</v>
      </c>
      <c r="I96" s="511">
        <f>IF(Ventilation!H44="",References!$H$160,Ventilation!H44)</f>
        <v>4988</v>
      </c>
      <c r="J96" s="511" t="str">
        <f>IF(Ventilation!O44="","",Ventilation!O44)</f>
        <v/>
      </c>
      <c r="K96" s="511" t="str">
        <f>IF(Ventilation!P44="",E96,Ventilation!P44)</f>
        <v/>
      </c>
      <c r="L96" s="511">
        <f>IF(AND(J96="",Ventilation!Q44=""),References!$K$165,IF(Ventilation!Q44="",VLOOKUP(J96,References!$J$161:$K$164,2),Ventilation!Q44))</f>
        <v>16</v>
      </c>
      <c r="M96" s="511" t="str">
        <f>IFERROR(IF(Ventilation!R44="",5*G96,Ventilation!R44),"")</f>
        <v/>
      </c>
      <c r="O96" s="718">
        <f>IF(OR(D96="New Construction",M96=""),References!$H$163,Calculations!M96)</f>
        <v>5</v>
      </c>
      <c r="P96" s="718">
        <f>IF(OR(D96="New Construction",L96=""),References!$H$161,Calculations!L96)</f>
        <v>16</v>
      </c>
      <c r="Q96" s="718" t="str">
        <f>IF(OR(D96="New Construction",K96=""),E96,Calculations!K96)</f>
        <v/>
      </c>
      <c r="R96" s="721">
        <f>IFERROR(((O96*(Q96/P96))-(G96*(E96/F96)))*I96/References!$H$164/G96,0)</f>
        <v>0</v>
      </c>
      <c r="S96" s="719">
        <f>IFERROR(R96/References!$H$160,0)</f>
        <v>0</v>
      </c>
      <c r="T96" s="699">
        <f>IFERROR(R96*References!$B$29,0)</f>
        <v>0</v>
      </c>
      <c r="U96" s="699">
        <f>IF(C96="",0,ROUND(References!$H$162*S96,References!$B$40))</f>
        <v>0</v>
      </c>
      <c r="V96" s="695" t="e">
        <f>INDEX(References!$F$218:$F$226,MATCH(Calculations!C96,References!$D$218:$D$226,0))</f>
        <v>#N/A</v>
      </c>
      <c r="W96" s="718" t="str">
        <f>IFERROR(IF(OR(T96&lt;=0,T96=""),"",INDEX(References!$E$218:$E$226,MATCH(V96,References!$F$218:$F$226,0))*G96),0)</f>
        <v/>
      </c>
      <c r="Y96" s="979"/>
      <c r="Z96" s="979"/>
    </row>
    <row r="97" spans="2:26" x14ac:dyDescent="0.3">
      <c r="B97" s="11">
        <v>10</v>
      </c>
      <c r="C97" s="511" t="str">
        <f>IF(Ventilation!B45="","",Ventilation!B45)</f>
        <v/>
      </c>
      <c r="D97" s="511" t="str">
        <f>IF(Ventilation!C45="","",Ventilation!C45)</f>
        <v/>
      </c>
      <c r="E97" s="511" t="str">
        <f>IF(Ventilation!E45="","",Ventilation!E45)</f>
        <v/>
      </c>
      <c r="F97" s="511" t="str">
        <f>IF(Ventilation!F45="","",Ventilation!F45)</f>
        <v/>
      </c>
      <c r="G97" s="511" t="str">
        <f>IF(Ventilation!G45="","",Ventilation!G45)</f>
        <v/>
      </c>
      <c r="H97" s="981">
        <f>IF(Ventilation!I45="Yes",References!$K$168,References!$K$169)</f>
        <v>1</v>
      </c>
      <c r="I97" s="511">
        <f>IF(Ventilation!H45="",References!$H$160,Ventilation!H45)</f>
        <v>4988</v>
      </c>
      <c r="J97" s="511" t="str">
        <f>IF(Ventilation!O45="","",Ventilation!O45)</f>
        <v/>
      </c>
      <c r="K97" s="511" t="str">
        <f>IF(Ventilation!P45="",E97,Ventilation!P45)</f>
        <v/>
      </c>
      <c r="L97" s="511">
        <f>IF(AND(J97="",Ventilation!Q45=""),References!$K$165,IF(Ventilation!Q45="",VLOOKUP(J97,References!$J$161:$K$164,2),Ventilation!Q45))</f>
        <v>16</v>
      </c>
      <c r="M97" s="511" t="str">
        <f>IFERROR(IF(Ventilation!R45="",5*G97,Ventilation!R45),"")</f>
        <v/>
      </c>
      <c r="O97" s="718">
        <f>IF(OR(D97="New Construction",M97=""),References!$H$163,Calculations!M97)</f>
        <v>5</v>
      </c>
      <c r="P97" s="718">
        <f>IF(OR(D97="New Construction",L97=""),References!$H$161,Calculations!L97)</f>
        <v>16</v>
      </c>
      <c r="Q97" s="718" t="str">
        <f>IF(OR(D97="New Construction",K97=""),E97,Calculations!K97)</f>
        <v/>
      </c>
      <c r="R97" s="721">
        <f>IFERROR(((O97*(Q97/P97))-(G97*(E97/F97)))*I97/References!$H$164/G97,0)</f>
        <v>0</v>
      </c>
      <c r="S97" s="719">
        <f>IFERROR(R97/References!$H$160,0)</f>
        <v>0</v>
      </c>
      <c r="T97" s="699">
        <f>IFERROR(R97*References!$B$29,0)</f>
        <v>0</v>
      </c>
      <c r="U97" s="699">
        <f>IF(C97="",0,ROUND(References!$H$162*S97,References!$B$40))</f>
        <v>0</v>
      </c>
      <c r="V97" s="695" t="e">
        <f>INDEX(References!$F$218:$F$226,MATCH(Calculations!C97,References!$D$218:$D$226,0))</f>
        <v>#N/A</v>
      </c>
      <c r="W97" s="718" t="str">
        <f>IFERROR(IF(OR(T97&lt;=0,T97=""),"",INDEX(References!$E$218:$E$226,MATCH(V97,References!$F$218:$F$226,0))*G97),0)</f>
        <v/>
      </c>
      <c r="Y97" s="979"/>
      <c r="Z97" s="979"/>
    </row>
    <row r="98" spans="2:26" x14ac:dyDescent="0.3">
      <c r="R98" s="720"/>
    </row>
  </sheetData>
  <customSheetViews>
    <customSheetView guid="{BE55F258-44BC-4FB6-88BE-39351DF10384}" showGridLines="0" state="hidden">
      <pageMargins left="0.7" right="0.7" top="0.75" bottom="0.75" header="0.3" footer="0.3"/>
      <pageSetup orientation="portrait" r:id="rId1"/>
    </customSheetView>
  </customSheetViews>
  <mergeCells count="20">
    <mergeCell ref="AK69:AV69"/>
    <mergeCell ref="AY69:AZ69"/>
    <mergeCell ref="AW69:AX69"/>
    <mergeCell ref="F4:F5"/>
    <mergeCell ref="G4:G5"/>
    <mergeCell ref="F37:F38"/>
    <mergeCell ref="G37:G38"/>
    <mergeCell ref="G69:G70"/>
    <mergeCell ref="F69:F70"/>
    <mergeCell ref="H69:H70"/>
    <mergeCell ref="I69:N69"/>
    <mergeCell ref="P69:R69"/>
    <mergeCell ref="AK37:AO37"/>
    <mergeCell ref="C85:H85"/>
    <mergeCell ref="O85:U85"/>
    <mergeCell ref="I85:M85"/>
    <mergeCell ref="AI37:AJ37"/>
    <mergeCell ref="S69:U69"/>
    <mergeCell ref="O69:O70"/>
    <mergeCell ref="Y69:AJ69"/>
  </mergeCell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0000"/>
  </sheetPr>
  <dimension ref="A1:AO27"/>
  <sheetViews>
    <sheetView zoomScale="90" zoomScaleNormal="90" workbookViewId="0">
      <selection activeCell="F63" sqref="F63"/>
    </sheetView>
  </sheetViews>
  <sheetFormatPr defaultRowHeight="5.15" customHeight="1" x14ac:dyDescent="0.35"/>
  <cols>
    <col min="2" max="2" width="16.1796875" bestFit="1" customWidth="1"/>
    <col min="3" max="3" width="24.81640625" bestFit="1" customWidth="1"/>
    <col min="4" max="4" width="22.54296875" bestFit="1" customWidth="1"/>
    <col min="5" max="5" width="41.453125" bestFit="1" customWidth="1"/>
    <col min="6" max="6" width="16.1796875" bestFit="1" customWidth="1"/>
    <col min="7" max="10" width="16.1796875" customWidth="1"/>
    <col min="11" max="11" width="12.453125" bestFit="1" customWidth="1"/>
    <col min="12" max="12" width="11.453125" bestFit="1" customWidth="1"/>
    <col min="13" max="13" width="11.453125" customWidth="1"/>
    <col min="14" max="14" width="12" bestFit="1" customWidth="1"/>
    <col min="15" max="15" width="21.54296875" bestFit="1" customWidth="1"/>
    <col min="16" max="16" width="20.453125" bestFit="1" customWidth="1"/>
    <col min="17" max="17" width="22.54296875" bestFit="1" customWidth="1"/>
    <col min="18" max="18" width="21.54296875" bestFit="1" customWidth="1"/>
    <col min="19" max="19" width="18" bestFit="1" customWidth="1"/>
    <col min="20" max="20" width="14" bestFit="1" customWidth="1"/>
    <col min="21" max="21" width="8.81640625" bestFit="1" customWidth="1"/>
    <col min="22" max="22" width="21.1796875" bestFit="1" customWidth="1"/>
    <col min="23" max="23" width="20.81640625" bestFit="1" customWidth="1"/>
    <col min="24" max="24" width="26.54296875" bestFit="1" customWidth="1"/>
    <col min="25" max="25" width="25.453125" bestFit="1" customWidth="1"/>
    <col min="26" max="26" width="13.54296875" bestFit="1" customWidth="1"/>
    <col min="27" max="27" width="15.453125" bestFit="1" customWidth="1"/>
    <col min="28" max="29" width="16.453125" bestFit="1" customWidth="1"/>
    <col min="30" max="30" width="15.453125" bestFit="1" customWidth="1"/>
    <col min="31" max="31" width="19.453125" bestFit="1" customWidth="1"/>
    <col min="32" max="32" width="23" bestFit="1" customWidth="1"/>
    <col min="33" max="33" width="15.1796875" bestFit="1" customWidth="1"/>
    <col min="34" max="34" width="12.54296875" customWidth="1"/>
    <col min="35" max="35" width="13.1796875" bestFit="1" customWidth="1"/>
    <col min="36" max="36" width="12.453125" bestFit="1" customWidth="1"/>
    <col min="37" max="37" width="7.453125" bestFit="1" customWidth="1"/>
    <col min="38" max="38" width="4.81640625" bestFit="1" customWidth="1"/>
    <col min="39" max="39" width="21.54296875" bestFit="1" customWidth="1"/>
    <col min="40" max="40" width="17" bestFit="1" customWidth="1"/>
    <col min="41" max="41" width="42.54296875" bestFit="1" customWidth="1"/>
  </cols>
  <sheetData>
    <row r="1" spans="1:41" ht="14.5" x14ac:dyDescent="0.35">
      <c r="A1" t="s">
        <v>849</v>
      </c>
      <c r="B1" t="s">
        <v>651</v>
      </c>
      <c r="C1" s="263" t="s">
        <v>650</v>
      </c>
      <c r="D1" s="263" t="s">
        <v>649</v>
      </c>
      <c r="E1" s="263" t="s">
        <v>648</v>
      </c>
      <c r="F1" s="263" t="s">
        <v>647</v>
      </c>
      <c r="G1" s="263" t="s">
        <v>848</v>
      </c>
      <c r="H1" s="263" t="s">
        <v>860</v>
      </c>
      <c r="I1" s="263" t="s">
        <v>865</v>
      </c>
      <c r="J1" s="263" t="s">
        <v>532</v>
      </c>
      <c r="K1" s="290" t="s">
        <v>850</v>
      </c>
      <c r="L1" s="290" t="s">
        <v>851</v>
      </c>
      <c r="M1" s="290" t="s">
        <v>852</v>
      </c>
      <c r="N1" s="290" t="s">
        <v>853</v>
      </c>
      <c r="O1" s="261" t="s">
        <v>861</v>
      </c>
      <c r="P1" s="261" t="s">
        <v>862</v>
      </c>
      <c r="Q1" s="260" t="s">
        <v>863</v>
      </c>
      <c r="R1" s="260" t="s">
        <v>864</v>
      </c>
      <c r="S1" s="291" t="s">
        <v>843</v>
      </c>
      <c r="T1" s="291" t="s">
        <v>844</v>
      </c>
      <c r="U1" s="291" t="s">
        <v>845</v>
      </c>
      <c r="V1" s="291" t="s">
        <v>858</v>
      </c>
      <c r="W1" s="291" t="s">
        <v>859</v>
      </c>
      <c r="X1" s="262" t="s">
        <v>855</v>
      </c>
      <c r="Y1" s="262" t="s">
        <v>854</v>
      </c>
      <c r="Z1" s="262" t="s">
        <v>1230</v>
      </c>
      <c r="AA1" s="262" t="s">
        <v>1231</v>
      </c>
      <c r="AB1" s="262" t="s">
        <v>1232</v>
      </c>
      <c r="AC1" s="290" t="s">
        <v>857</v>
      </c>
      <c r="AD1" s="290" t="s">
        <v>856</v>
      </c>
      <c r="AE1" s="347" t="s">
        <v>1201</v>
      </c>
      <c r="AF1" s="347" t="s">
        <v>1202</v>
      </c>
      <c r="AG1" s="289" t="s">
        <v>840</v>
      </c>
      <c r="AH1" s="289" t="s">
        <v>841</v>
      </c>
      <c r="AI1" s="289" t="s">
        <v>842</v>
      </c>
      <c r="AJ1" s="260" t="s">
        <v>23</v>
      </c>
      <c r="AK1" s="260" t="s">
        <v>646</v>
      </c>
      <c r="AL1" s="260" t="s">
        <v>37</v>
      </c>
      <c r="AM1" s="260" t="s">
        <v>802</v>
      </c>
      <c r="AN1" s="260" t="s">
        <v>813</v>
      </c>
      <c r="AO1" s="260" t="s">
        <v>922</v>
      </c>
    </row>
    <row r="2" spans="1:41" ht="14.5" x14ac:dyDescent="0.35">
      <c r="A2">
        <v>1</v>
      </c>
      <c r="C2" t="str">
        <f>IF(Calculations!Y7="Fail","",INDEX('HVAC Types'!$B$2:$B$90,MATCH(Calculations!$BR7,'HVAC Types'!$A$2:$A$90,0)))</f>
        <v/>
      </c>
      <c r="D2" t="str">
        <f>IF(C2="","",INDEX('HVAC Types'!$C$2:$C$90,MATCH(Calculations!$BR7,'HVAC Types'!$A$2:$A$90,0)))</f>
        <v/>
      </c>
      <c r="E2" t="str">
        <f>IF(C2="","",INDEX('HVAC Types'!$D$2:$D$90,MATCH(Calculations!$BR7,'HVAC Types'!$A$2:$A$90,0)))</f>
        <v/>
      </c>
      <c r="F2" t="str">
        <f>IF(Calculations!J7="","",Calculations!J7)</f>
        <v/>
      </c>
      <c r="G2" t="str">
        <f>IF(OR('HVAC Worksheet'!$C$12="",'HVAC Worksheet'!B17=""),"",'HVAC Worksheet'!$C$12)</f>
        <v/>
      </c>
      <c r="J2" t="str">
        <f>IF(E2="","",Calculations!BR7)</f>
        <v/>
      </c>
      <c r="K2" s="270"/>
      <c r="L2" s="270"/>
      <c r="M2" s="270"/>
      <c r="N2" s="270"/>
      <c r="O2" s="270" t="str">
        <f>Calculations!K7</f>
        <v/>
      </c>
      <c r="P2" s="270" t="str">
        <f>Calculations!L7</f>
        <v/>
      </c>
      <c r="Q2" s="270" t="str">
        <f>Calculations!M7</f>
        <v/>
      </c>
      <c r="R2" s="270" t="str">
        <f>Calculations!N7</f>
        <v/>
      </c>
      <c r="S2" t="str">
        <f>IF(C2="","",INDEX(References!$E$118:$E$134,MATCH('HVAC Worksheet'!$B17,References!$D$118:$D$134,0)))</f>
        <v/>
      </c>
      <c r="T2" t="str">
        <f>IF(C2="","",INDEX(References!$F$118:$F$129,MATCH('HVAC Worksheet'!$B17,References!$D$118:$D$129,0)))</f>
        <v/>
      </c>
      <c r="U2" t="str">
        <f>IF(C2="","",INDEX(References!$G$118:$G$129,MATCH('HVAC Worksheet'!$B17,References!$D$118:$D$129,0)))</f>
        <v/>
      </c>
      <c r="V2" s="295" t="str">
        <f>IF(C2="","",Calculations!AB7)</f>
        <v/>
      </c>
      <c r="W2" s="295" t="str">
        <f>IF(C2="","",Calculations!AA7)</f>
        <v/>
      </c>
      <c r="X2" s="350"/>
      <c r="Y2" s="351"/>
      <c r="Z2" s="352"/>
      <c r="AA2" s="351"/>
      <c r="AB2" s="353"/>
      <c r="AC2" s="353"/>
      <c r="AD2" s="351"/>
      <c r="AE2" s="348"/>
      <c r="AF2" s="348"/>
      <c r="AG2" s="294">
        <f>'HVAC Worksheet'!O17</f>
        <v>0</v>
      </c>
      <c r="AH2" s="294">
        <f>'HVAC Worksheet'!P17</f>
        <v>0</v>
      </c>
      <c r="AI2" s="294" t="str">
        <f>IF('HVAC Worksheet'!Q17="","",'HVAC Worksheet'!Q17)</f>
        <v/>
      </c>
      <c r="AJ2" t="str">
        <f>IF('HVAC Worksheet'!F17="","",'HVAC Worksheet'!F17)</f>
        <v/>
      </c>
      <c r="AK2" t="str">
        <f>IF('HVAC Worksheet'!G17="","",'HVAC Worksheet'!G17)</f>
        <v/>
      </c>
      <c r="AL2" t="str">
        <f>IF(C2="","",Calculations!I7)</f>
        <v/>
      </c>
      <c r="AM2" t="str">
        <f>IF(C2="","",'HVAC Worksheet'!AF17/'HVAC Worksheet'!I17)</f>
        <v/>
      </c>
      <c r="AN2" t="str">
        <f t="shared" ref="AN2:AN26" si="0">IF(C2="","",AM2/AL2)</f>
        <v/>
      </c>
      <c r="AO2" t="s">
        <v>2253</v>
      </c>
    </row>
    <row r="3" spans="1:41" ht="14.5" x14ac:dyDescent="0.35">
      <c r="A3">
        <f>A2+1</f>
        <v>2</v>
      </c>
      <c r="C3" t="str">
        <f>IF(Calculations!Y8="Fail","",INDEX('HVAC Types'!$B$2:$B$90,MATCH(Calculations!$BR8,'HVAC Types'!$A$2:$A$90,0)))</f>
        <v/>
      </c>
      <c r="D3" t="str">
        <f>IF(C3="","",INDEX('HVAC Types'!$C$2:$C$90,MATCH(Calculations!$BR8,'HVAC Types'!$A$2:$A$90,0)))</f>
        <v/>
      </c>
      <c r="E3" t="str">
        <f>IF(C3="","",INDEX('HVAC Types'!$D$2:$D$90,MATCH(Calculations!$BR8,'HVAC Types'!$A$2:$A$90,0)))</f>
        <v/>
      </c>
      <c r="F3" t="str">
        <f>IF(Calculations!J8="","",Calculations!J8)</f>
        <v/>
      </c>
      <c r="G3" t="str">
        <f>IF(OR('HVAC Worksheet'!$C$12="",'HVAC Worksheet'!B18=""),"",'HVAC Worksheet'!$C$12)</f>
        <v/>
      </c>
      <c r="J3" t="str">
        <f>IF(E3="","",Calculations!BR8)</f>
        <v/>
      </c>
      <c r="K3" s="270"/>
      <c r="L3" s="270"/>
      <c r="M3" s="270"/>
      <c r="N3" s="270"/>
      <c r="O3" s="270" t="str">
        <f>Calculations!K8</f>
        <v/>
      </c>
      <c r="P3" s="270" t="str">
        <f>Calculations!L8</f>
        <v/>
      </c>
      <c r="Q3" s="270" t="str">
        <f>Calculations!M8</f>
        <v/>
      </c>
      <c r="R3" s="270" t="str">
        <f>Calculations!N8</f>
        <v/>
      </c>
      <c r="S3" t="str">
        <f>IF(C3="","",INDEX(References!$E$118:$E$134,MATCH('HVAC Worksheet'!$B18,References!$D$118:$D$134,0)))</f>
        <v/>
      </c>
      <c r="T3" t="str">
        <f>IF(C3="","",INDEX(References!$F$118:$F$129,MATCH('HVAC Worksheet'!$B18,References!$D$118:$D$129,0)))</f>
        <v/>
      </c>
      <c r="U3" t="str">
        <f>IF(C3="","",INDEX(References!$G$118:$G$129,MATCH('HVAC Worksheet'!$B18,References!$D$118:$D$129,0)))</f>
        <v/>
      </c>
      <c r="V3" s="295" t="str">
        <f>IF(C3="","",Calculations!AB8)</f>
        <v/>
      </c>
      <c r="W3" s="295" t="str">
        <f>IF(C3="","",Calculations!AA8)</f>
        <v/>
      </c>
      <c r="X3" s="350"/>
      <c r="Y3" s="351"/>
      <c r="Z3" s="352"/>
      <c r="AA3" s="351"/>
      <c r="AB3" s="353"/>
      <c r="AC3" s="353"/>
      <c r="AD3" s="351"/>
      <c r="AE3" s="348"/>
      <c r="AF3" s="348"/>
      <c r="AG3" s="294">
        <f>'HVAC Worksheet'!O18</f>
        <v>0</v>
      </c>
      <c r="AH3" s="294">
        <f>'HVAC Worksheet'!P18</f>
        <v>0</v>
      </c>
      <c r="AI3" s="294" t="str">
        <f>IF('HVAC Worksheet'!Q18="","",'HVAC Worksheet'!Q18)</f>
        <v/>
      </c>
      <c r="AJ3" t="str">
        <f>IF('HVAC Worksheet'!F18="","",'HVAC Worksheet'!F18)</f>
        <v/>
      </c>
      <c r="AK3" t="str">
        <f>IF('HVAC Worksheet'!G18="","",'HVAC Worksheet'!G18)</f>
        <v/>
      </c>
      <c r="AL3" t="str">
        <f>IF(C3="","",Calculations!I8)</f>
        <v/>
      </c>
      <c r="AM3" t="str">
        <f>IF(C3="","",'HVAC Worksheet'!AF18/'HVAC Worksheet'!I18)</f>
        <v/>
      </c>
      <c r="AN3" t="str">
        <f t="shared" si="0"/>
        <v/>
      </c>
      <c r="AO3" t="s">
        <v>2253</v>
      </c>
    </row>
    <row r="4" spans="1:41" ht="14.5" x14ac:dyDescent="0.35">
      <c r="A4">
        <f t="shared" ref="A4:A26" si="1">A3+1</f>
        <v>3</v>
      </c>
      <c r="C4" t="str">
        <f>IF(Calculations!Y9="Fail","",INDEX('HVAC Types'!$B$2:$B$90,MATCH(Calculations!$BR9,'HVAC Types'!$A$2:$A$90,0)))</f>
        <v/>
      </c>
      <c r="D4" t="str">
        <f>IF(C4="","",INDEX('HVAC Types'!$C$2:$C$90,MATCH(Calculations!$BR9,'HVAC Types'!$A$2:$A$90,0)))</f>
        <v/>
      </c>
      <c r="E4" t="str">
        <f>IF(C4="","",INDEX('HVAC Types'!$D$2:$D$90,MATCH(Calculations!$BR9,'HVAC Types'!$A$2:$A$90,0)))</f>
        <v/>
      </c>
      <c r="F4" t="str">
        <f>IF(Calculations!J9="","",Calculations!J9)</f>
        <v/>
      </c>
      <c r="G4" t="str">
        <f>IF(OR('HVAC Worksheet'!$C$12="",'HVAC Worksheet'!B19=""),"",'HVAC Worksheet'!$C$12)</f>
        <v/>
      </c>
      <c r="J4" t="str">
        <f>IF(E4="","",Calculations!BR9)</f>
        <v/>
      </c>
      <c r="K4" s="270"/>
      <c r="L4" s="270"/>
      <c r="M4" s="270"/>
      <c r="N4" s="270"/>
      <c r="O4" s="270" t="str">
        <f>Calculations!K9</f>
        <v/>
      </c>
      <c r="P4" s="270" t="str">
        <f>Calculations!L9</f>
        <v/>
      </c>
      <c r="Q4" s="270" t="str">
        <f>Calculations!M9</f>
        <v/>
      </c>
      <c r="R4" s="270" t="str">
        <f>Calculations!N9</f>
        <v/>
      </c>
      <c r="S4" t="str">
        <f>IF(C4="","",INDEX(References!$E$118:$E$134,MATCH('HVAC Worksheet'!$B19,References!$D$118:$D$134,0)))</f>
        <v/>
      </c>
      <c r="T4" t="str">
        <f>IF(C4="","",INDEX(References!$F$118:$F$129,MATCH('HVAC Worksheet'!$B19,References!$D$118:$D$129,0)))</f>
        <v/>
      </c>
      <c r="U4" t="str">
        <f>IF(C4="","",INDEX(References!$G$118:$G$129,MATCH('HVAC Worksheet'!$B19,References!$D$118:$D$129,0)))</f>
        <v/>
      </c>
      <c r="V4" s="295" t="str">
        <f>IF(C4="","",Calculations!AB9)</f>
        <v/>
      </c>
      <c r="W4" s="295" t="str">
        <f>IF(C4="","",Calculations!AA9)</f>
        <v/>
      </c>
      <c r="X4" s="350"/>
      <c r="Y4" s="351"/>
      <c r="Z4" s="352"/>
      <c r="AA4" s="351"/>
      <c r="AB4" s="353"/>
      <c r="AC4" s="353"/>
      <c r="AD4" s="351"/>
      <c r="AE4" s="348"/>
      <c r="AF4" s="348"/>
      <c r="AG4" s="294">
        <f>'HVAC Worksheet'!O19</f>
        <v>0</v>
      </c>
      <c r="AH4" s="294">
        <f>'HVAC Worksheet'!P19</f>
        <v>0</v>
      </c>
      <c r="AI4" s="294" t="str">
        <f>IF('HVAC Worksheet'!Q19="","",'HVAC Worksheet'!Q19)</f>
        <v/>
      </c>
      <c r="AJ4" t="str">
        <f>IF('HVAC Worksheet'!F19="","",'HVAC Worksheet'!F19)</f>
        <v/>
      </c>
      <c r="AK4" t="str">
        <f>IF('HVAC Worksheet'!G19="","",'HVAC Worksheet'!G19)</f>
        <v/>
      </c>
      <c r="AL4" t="str">
        <f>IF(C4="","",Calculations!I9)</f>
        <v/>
      </c>
      <c r="AM4" t="str">
        <f>IF(C4="","",'HVAC Worksheet'!AF19/'HVAC Worksheet'!I19)</f>
        <v/>
      </c>
      <c r="AN4" t="str">
        <f t="shared" si="0"/>
        <v/>
      </c>
      <c r="AO4" t="s">
        <v>2253</v>
      </c>
    </row>
    <row r="5" spans="1:41" ht="14.5" x14ac:dyDescent="0.35">
      <c r="A5">
        <f t="shared" si="1"/>
        <v>4</v>
      </c>
      <c r="C5" t="str">
        <f>IF(Calculations!Y10="Fail","",INDEX('HVAC Types'!$B$2:$B$90,MATCH(Calculations!$BR10,'HVAC Types'!$A$2:$A$90,0)))</f>
        <v/>
      </c>
      <c r="D5" t="str">
        <f>IF(C5="","",INDEX('HVAC Types'!$C$2:$C$90,MATCH(Calculations!$BR10,'HVAC Types'!$A$2:$A$90,0)))</f>
        <v/>
      </c>
      <c r="E5" t="str">
        <f>IF(C5="","",INDEX('HVAC Types'!$D$2:$D$90,MATCH(Calculations!$BR10,'HVAC Types'!$A$2:$A$90,0)))</f>
        <v/>
      </c>
      <c r="F5" t="str">
        <f>IF(Calculations!J10="","",Calculations!J10)</f>
        <v/>
      </c>
      <c r="G5" t="str">
        <f>IF(OR('HVAC Worksheet'!$C$12="",'HVAC Worksheet'!B20=""),"",'HVAC Worksheet'!$C$12)</f>
        <v/>
      </c>
      <c r="J5" t="str">
        <f>IF(E5="","",Calculations!BR10)</f>
        <v/>
      </c>
      <c r="K5" s="270"/>
      <c r="L5" s="270"/>
      <c r="M5" s="270"/>
      <c r="N5" s="270"/>
      <c r="O5" s="270" t="str">
        <f>Calculations!K10</f>
        <v/>
      </c>
      <c r="P5" s="270" t="str">
        <f>Calculations!L10</f>
        <v/>
      </c>
      <c r="Q5" s="270" t="str">
        <f>Calculations!M10</f>
        <v/>
      </c>
      <c r="R5" s="270" t="str">
        <f>Calculations!N10</f>
        <v/>
      </c>
      <c r="S5" t="str">
        <f>IF(C5="","",INDEX(References!$E$118:$E$134,MATCH('HVAC Worksheet'!$B20,References!$D$118:$D$134,0)))</f>
        <v/>
      </c>
      <c r="T5" t="str">
        <f>IF(C5="","",INDEX(References!$F$118:$F$129,MATCH('HVAC Worksheet'!$B20,References!$D$118:$D$129,0)))</f>
        <v/>
      </c>
      <c r="U5" t="str">
        <f>IF(C5="","",INDEX(References!$G$118:$G$129,MATCH('HVAC Worksheet'!$B20,References!$D$118:$D$129,0)))</f>
        <v/>
      </c>
      <c r="V5" s="295" t="str">
        <f>IF(C5="","",Calculations!AB10)</f>
        <v/>
      </c>
      <c r="W5" s="295" t="str">
        <f>IF(C5="","",Calculations!AA10)</f>
        <v/>
      </c>
      <c r="X5" s="350"/>
      <c r="Y5" s="351"/>
      <c r="Z5" s="352"/>
      <c r="AA5" s="351"/>
      <c r="AB5" s="353"/>
      <c r="AC5" s="353"/>
      <c r="AD5" s="351"/>
      <c r="AE5" s="348"/>
      <c r="AF5" s="348"/>
      <c r="AG5" s="294">
        <f>'HVAC Worksheet'!O20</f>
        <v>0</v>
      </c>
      <c r="AH5" s="294">
        <f>'HVAC Worksheet'!P20</f>
        <v>0</v>
      </c>
      <c r="AI5" s="294" t="str">
        <f>IF('HVAC Worksheet'!Q20="","",'HVAC Worksheet'!Q20)</f>
        <v/>
      </c>
      <c r="AJ5" t="str">
        <f>IF('HVAC Worksheet'!F20="","",'HVAC Worksheet'!F20)</f>
        <v/>
      </c>
      <c r="AK5" t="str">
        <f>IF('HVAC Worksheet'!G20="","",'HVAC Worksheet'!G20)</f>
        <v/>
      </c>
      <c r="AL5" t="str">
        <f>IF(C5="","",Calculations!I10)</f>
        <v/>
      </c>
      <c r="AM5" t="str">
        <f>IF(C5="","",'HVAC Worksheet'!AF20/'HVAC Worksheet'!I20)</f>
        <v/>
      </c>
      <c r="AN5" t="str">
        <f t="shared" si="0"/>
        <v/>
      </c>
    </row>
    <row r="6" spans="1:41" ht="14.5" x14ac:dyDescent="0.35">
      <c r="A6">
        <f t="shared" si="1"/>
        <v>5</v>
      </c>
      <c r="C6" t="str">
        <f>IF(Calculations!Y11="Fail","",INDEX('HVAC Types'!$B$2:$B$90,MATCH(Calculations!$BR11,'HVAC Types'!$A$2:$A$90,0)))</f>
        <v/>
      </c>
      <c r="D6" t="str">
        <f>IF(C6="","",INDEX('HVAC Types'!$C$2:$C$90,MATCH(Calculations!$BR11,'HVAC Types'!$A$2:$A$90,0)))</f>
        <v/>
      </c>
      <c r="E6" t="str">
        <f>IF(C6="","",INDEX('HVAC Types'!$D$2:$D$90,MATCH(Calculations!$BR11,'HVAC Types'!$A$2:$A$90,0)))</f>
        <v/>
      </c>
      <c r="F6" t="str">
        <f>IF(Calculations!J11="","",Calculations!J11)</f>
        <v/>
      </c>
      <c r="G6" t="str">
        <f>IF(OR('HVAC Worksheet'!$C$12="",'HVAC Worksheet'!B21=""),"",'HVAC Worksheet'!$C$12)</f>
        <v/>
      </c>
      <c r="J6" t="str">
        <f>IF(E6="","",Calculations!BR11)</f>
        <v/>
      </c>
      <c r="K6" s="270"/>
      <c r="L6" s="270"/>
      <c r="M6" s="270"/>
      <c r="N6" s="270"/>
      <c r="O6" s="270" t="str">
        <f>Calculations!K11</f>
        <v/>
      </c>
      <c r="P6" s="270" t="str">
        <f>Calculations!L11</f>
        <v/>
      </c>
      <c r="Q6" s="270" t="str">
        <f>Calculations!M11</f>
        <v/>
      </c>
      <c r="R6" s="270" t="str">
        <f>Calculations!N11</f>
        <v/>
      </c>
      <c r="V6" s="295" t="str">
        <f>IF(C6="","",Calculations!AB11)</f>
        <v/>
      </c>
      <c r="W6" s="295" t="str">
        <f>IF(C6="","",Calculations!AA11)</f>
        <v/>
      </c>
      <c r="X6" s="350"/>
      <c r="Y6" s="351"/>
      <c r="Z6" s="352"/>
      <c r="AA6" s="351"/>
      <c r="AB6" s="353"/>
      <c r="AC6" s="353"/>
      <c r="AD6" s="351"/>
      <c r="AE6" s="348"/>
      <c r="AF6" s="348"/>
      <c r="AG6" s="294">
        <f>'HVAC Worksheet'!O21</f>
        <v>0</v>
      </c>
      <c r="AH6" s="294">
        <f>'HVAC Worksheet'!P21</f>
        <v>0</v>
      </c>
      <c r="AI6" s="294" t="str">
        <f>IF('HVAC Worksheet'!Q21="","",'HVAC Worksheet'!Q21)</f>
        <v/>
      </c>
      <c r="AJ6" t="str">
        <f>IF('HVAC Worksheet'!F21="","",'HVAC Worksheet'!F21)</f>
        <v/>
      </c>
      <c r="AK6" t="str">
        <f>IF('HVAC Worksheet'!G21="","",'HVAC Worksheet'!G21)</f>
        <v/>
      </c>
      <c r="AL6" t="str">
        <f>IF(C6="","",Calculations!I11)</f>
        <v/>
      </c>
      <c r="AM6" t="str">
        <f>IF(C6="","",'HVAC Worksheet'!AF21/'HVAC Worksheet'!I21)</f>
        <v/>
      </c>
      <c r="AN6" t="str">
        <f t="shared" si="0"/>
        <v/>
      </c>
    </row>
    <row r="7" spans="1:41" ht="14.5" x14ac:dyDescent="0.35">
      <c r="A7">
        <f t="shared" si="1"/>
        <v>6</v>
      </c>
      <c r="C7" t="str">
        <f>IF(Calculations!Y12="Fail","",INDEX('HVAC Types'!$B$2:$B$90,MATCH(Calculations!$BR12,'HVAC Types'!$A$2:$A$90,0)))</f>
        <v/>
      </c>
      <c r="D7" t="str">
        <f>IF(C7="","",INDEX('HVAC Types'!$C$2:$C$90,MATCH(Calculations!$BR12,'HVAC Types'!$A$2:$A$90,0)))</f>
        <v/>
      </c>
      <c r="E7" t="str">
        <f>IF(C7="","",INDEX('HVAC Types'!$D$2:$D$90,MATCH(Calculations!$BR12,'HVAC Types'!$A$2:$A$90,0)))</f>
        <v/>
      </c>
      <c r="F7" t="str">
        <f>IF(Calculations!J12="","",Calculations!J12)</f>
        <v/>
      </c>
      <c r="G7" t="str">
        <f>IF(OR('HVAC Worksheet'!$C$12="",'HVAC Worksheet'!B22=""),"",'HVAC Worksheet'!$C$12)</f>
        <v/>
      </c>
      <c r="J7" t="str">
        <f>IF(E7="","",Calculations!BR12)</f>
        <v/>
      </c>
      <c r="K7" s="270"/>
      <c r="L7" s="270"/>
      <c r="M7" s="270"/>
      <c r="N7" s="270"/>
      <c r="O7" s="270" t="str">
        <f>Calculations!K12</f>
        <v/>
      </c>
      <c r="P7" s="270" t="str">
        <f>Calculations!L12</f>
        <v/>
      </c>
      <c r="Q7" s="270" t="str">
        <f>Calculations!M12</f>
        <v/>
      </c>
      <c r="R7" s="270" t="str">
        <f>Calculations!N12</f>
        <v/>
      </c>
      <c r="S7" t="str">
        <f>IF(C7="","",INDEX(References!$E$118:$E$134,MATCH('HVAC Worksheet'!$B22,References!$D$118:$D$134,0)))</f>
        <v/>
      </c>
      <c r="T7" t="str">
        <f>IF(C7="","",INDEX(References!$F$118:$F$129,MATCH('HVAC Worksheet'!$B22,References!$D$118:$D$129,0)))</f>
        <v/>
      </c>
      <c r="U7" t="str">
        <f>IF(C7="","",INDEX(References!$G$118:$G$129,MATCH('HVAC Worksheet'!$B22,References!$D$118:$D$129,0)))</f>
        <v/>
      </c>
      <c r="V7" s="295" t="str">
        <f>IF(C7="","",Calculations!AB12)</f>
        <v/>
      </c>
      <c r="W7" s="295" t="str">
        <f>IF(C7="","",Calculations!AA12)</f>
        <v/>
      </c>
      <c r="X7" s="350"/>
      <c r="Y7" s="351"/>
      <c r="Z7" s="352"/>
      <c r="AA7" s="351"/>
      <c r="AB7" s="353"/>
      <c r="AC7" s="353"/>
      <c r="AD7" s="351"/>
      <c r="AE7" s="348"/>
      <c r="AF7" s="348"/>
      <c r="AG7" s="294">
        <f>'HVAC Worksheet'!O22</f>
        <v>0</v>
      </c>
      <c r="AH7" s="294">
        <f>'HVAC Worksheet'!P22</f>
        <v>0</v>
      </c>
      <c r="AI7" s="294" t="str">
        <f>IF('HVAC Worksheet'!Q22="","",'HVAC Worksheet'!Q22)</f>
        <v/>
      </c>
      <c r="AJ7" t="str">
        <f>IF('HVAC Worksheet'!F22="","",'HVAC Worksheet'!F22)</f>
        <v/>
      </c>
      <c r="AK7" t="str">
        <f>IF('HVAC Worksheet'!G22="","",'HVAC Worksheet'!G22)</f>
        <v/>
      </c>
      <c r="AL7" t="str">
        <f>IF(C7="","",Calculations!I12)</f>
        <v/>
      </c>
      <c r="AM7" t="str">
        <f>IF(C7="","",'HVAC Worksheet'!AF22/'HVAC Worksheet'!I22)</f>
        <v/>
      </c>
      <c r="AN7" t="str">
        <f t="shared" si="0"/>
        <v/>
      </c>
    </row>
    <row r="8" spans="1:41" ht="14.5" x14ac:dyDescent="0.35">
      <c r="A8">
        <f t="shared" si="1"/>
        <v>7</v>
      </c>
      <c r="C8" t="str">
        <f>IF(Calculations!Y13="Fail","",INDEX('HVAC Types'!$B$2:$B$90,MATCH(Calculations!$BR13,'HVAC Types'!$A$2:$A$90,0)))</f>
        <v/>
      </c>
      <c r="D8" t="str">
        <f>IF(C8="","",INDEX('HVAC Types'!$C$2:$C$90,MATCH(Calculations!$BR13,'HVAC Types'!$A$2:$A$90,0)))</f>
        <v/>
      </c>
      <c r="E8" t="str">
        <f>IF(C8="","",INDEX('HVAC Types'!$D$2:$D$90,MATCH(Calculations!$BR13,'HVAC Types'!$A$2:$A$90,0)))</f>
        <v/>
      </c>
      <c r="F8" t="str">
        <f>IF(Calculations!J13="","",Calculations!J13)</f>
        <v/>
      </c>
      <c r="G8" t="str">
        <f>IF(OR('HVAC Worksheet'!$C$12="",'HVAC Worksheet'!B23=""),"",'HVAC Worksheet'!$C$12)</f>
        <v/>
      </c>
      <c r="J8" t="str">
        <f>IF(E8="","",Calculations!BR13)</f>
        <v/>
      </c>
      <c r="K8" s="270"/>
      <c r="L8" s="270"/>
      <c r="M8" s="270"/>
      <c r="N8" s="270"/>
      <c r="O8" s="270" t="str">
        <f>Calculations!K13</f>
        <v/>
      </c>
      <c r="P8" s="270" t="str">
        <f>Calculations!L13</f>
        <v/>
      </c>
      <c r="Q8" s="270" t="str">
        <f>Calculations!M13</f>
        <v/>
      </c>
      <c r="R8" s="270" t="str">
        <f>Calculations!N13</f>
        <v/>
      </c>
      <c r="S8" t="str">
        <f>IF(C8="","",INDEX(References!$E$118:$E$134,MATCH('HVAC Worksheet'!$B23,References!$D$118:$D$134,0)))</f>
        <v/>
      </c>
      <c r="T8" t="str">
        <f>IF(C8="","",INDEX(References!$F$118:$F$129,MATCH('HVAC Worksheet'!$B23,References!$D$118:$D$129,0)))</f>
        <v/>
      </c>
      <c r="U8" t="str">
        <f>IF(C8="","",INDEX(References!$G$118:$G$129,MATCH('HVAC Worksheet'!$B23,References!$D$118:$D$129,0)))</f>
        <v/>
      </c>
      <c r="V8" s="295" t="str">
        <f>IF(C8="","",Calculations!AB13)</f>
        <v/>
      </c>
      <c r="W8" s="295" t="str">
        <f>IF(C8="","",Calculations!AA13)</f>
        <v/>
      </c>
      <c r="X8" s="350"/>
      <c r="Y8" s="351"/>
      <c r="Z8" s="352"/>
      <c r="AA8" s="351"/>
      <c r="AB8" s="353"/>
      <c r="AC8" s="353"/>
      <c r="AD8" s="351"/>
      <c r="AE8" s="348"/>
      <c r="AF8" s="348"/>
      <c r="AG8" s="294">
        <f>'HVAC Worksheet'!O23</f>
        <v>0</v>
      </c>
      <c r="AH8" s="294">
        <f>'HVAC Worksheet'!P23</f>
        <v>0</v>
      </c>
      <c r="AI8" s="294" t="str">
        <f>IF('HVAC Worksheet'!Q23="","",'HVAC Worksheet'!Q23)</f>
        <v/>
      </c>
      <c r="AJ8" t="str">
        <f>IF('HVAC Worksheet'!F23="","",'HVAC Worksheet'!F23)</f>
        <v/>
      </c>
      <c r="AK8" t="str">
        <f>IF('HVAC Worksheet'!G23="","",'HVAC Worksheet'!G23)</f>
        <v/>
      </c>
      <c r="AL8" t="str">
        <f>IF(C8="","",Calculations!I13)</f>
        <v/>
      </c>
      <c r="AM8" t="str">
        <f>IF(C8="","",'HVAC Worksheet'!AF23/'HVAC Worksheet'!I23)</f>
        <v/>
      </c>
      <c r="AN8" t="str">
        <f t="shared" si="0"/>
        <v/>
      </c>
    </row>
    <row r="9" spans="1:41" ht="14.5" x14ac:dyDescent="0.35">
      <c r="A9">
        <f t="shared" si="1"/>
        <v>8</v>
      </c>
      <c r="C9" t="str">
        <f>IF(Calculations!Y14="Fail","",INDEX('HVAC Types'!$B$2:$B$90,MATCH(Calculations!$BR14,'HVAC Types'!$A$2:$A$90,0)))</f>
        <v/>
      </c>
      <c r="D9" t="str">
        <f>IF(C9="","",INDEX('HVAC Types'!$C$2:$C$90,MATCH(Calculations!$BR14,'HVAC Types'!$A$2:$A$90,0)))</f>
        <v/>
      </c>
      <c r="E9" t="str">
        <f>IF(C9="","",INDEX('HVAC Types'!$D$2:$D$90,MATCH(Calculations!$BR14,'HVAC Types'!$A$2:$A$90,0)))</f>
        <v/>
      </c>
      <c r="F9" t="str">
        <f>IF(Calculations!J14="","",Calculations!J14)</f>
        <v/>
      </c>
      <c r="G9" t="str">
        <f>IF(OR('HVAC Worksheet'!$C$12="",'HVAC Worksheet'!B24=""),"",'HVAC Worksheet'!$C$12)</f>
        <v/>
      </c>
      <c r="J9" t="str">
        <f>IF(E9="","",Calculations!BR14)</f>
        <v/>
      </c>
      <c r="K9" s="270" t="str">
        <f>IF(C9="","",IF(Calculations!$BP14="Tier 0",Calculations!AJ14,Calculations!#REF!))</f>
        <v/>
      </c>
      <c r="L9" s="270" t="str">
        <f>IF(C9="","",IF(Calculations!$BP14="Tier 0",Calculations!AK14,Calculations!#REF!))</f>
        <v/>
      </c>
      <c r="M9" s="270" t="str">
        <f>IF(C9="","",IF(Calculations!$BP14="Tier 0",Calculations!AL14,Calculations!#REF!))</f>
        <v/>
      </c>
      <c r="N9" s="270" t="str">
        <f>IF(C9="","",IF(Calculations!$BP14="Tier 0",Calculations!AM14,Calculations!#REF!))</f>
        <v/>
      </c>
      <c r="O9" s="270" t="str">
        <f>Calculations!K14</f>
        <v/>
      </c>
      <c r="P9" s="270" t="str">
        <f>Calculations!L14</f>
        <v/>
      </c>
      <c r="Q9" s="270" t="str">
        <f>Calculations!M14</f>
        <v/>
      </c>
      <c r="R9" s="270" t="str">
        <f>Calculations!N14</f>
        <v/>
      </c>
      <c r="S9" t="str">
        <f>IF(C9="","",INDEX(References!$E$118:$E$134,MATCH('HVAC Worksheet'!$B24,References!$D$118:$D$134,0)))</f>
        <v/>
      </c>
      <c r="T9" t="str">
        <f>IF(C9="","",INDEX(References!$F$118:$F$129,MATCH('HVAC Worksheet'!$B24,References!$D$118:$D$129,0)))</f>
        <v/>
      </c>
      <c r="U9" t="str">
        <f>IF(C9="","",INDEX(References!$G$118:$G$129,MATCH('HVAC Worksheet'!$B24,References!$D$118:$D$129,0)))</f>
        <v/>
      </c>
      <c r="V9" s="295" t="str">
        <f>IF(C9="","",Calculations!AB14)</f>
        <v/>
      </c>
      <c r="W9" s="295" t="str">
        <f>IF(C9="","",Calculations!AA14)</f>
        <v/>
      </c>
      <c r="X9" s="350" t="str">
        <f>IF(C9="","",Calculations!#REF!)</f>
        <v/>
      </c>
      <c r="Y9" s="351" t="str">
        <f>IF(C9="","",Calculations!#REF!)</f>
        <v/>
      </c>
      <c r="Z9" s="352" t="str">
        <f t="shared" ref="Z9:Z26" si="2">IF(C9="","",1)</f>
        <v/>
      </c>
      <c r="AA9" s="351" t="str">
        <f t="shared" ref="AA9:AA26" si="3">IF(Y9="","",Y9*Z9*S9)</f>
        <v/>
      </c>
      <c r="AB9" s="353" t="str">
        <f t="shared" ref="AB9:AB26" si="4">IF(X9="","",X9*Z9)</f>
        <v/>
      </c>
      <c r="AC9" s="353" t="str">
        <f>IF('HVAC Worksheet'!B24="","",Calculations!#REF!)</f>
        <v/>
      </c>
      <c r="AD9" s="351" t="str">
        <f>IF('HVAC Worksheet'!B24="","",Calculations!#REF!)</f>
        <v/>
      </c>
      <c r="AE9" s="348" t="str">
        <f>IF(AC9="","",AC9*References!$B$21)</f>
        <v/>
      </c>
      <c r="AF9" s="348" t="str">
        <f>IF(AC9="","",AC9*References!$B$29)</f>
        <v/>
      </c>
      <c r="AG9" s="294">
        <f>'HVAC Worksheet'!O24</f>
        <v>0</v>
      </c>
      <c r="AH9" s="294">
        <f>'HVAC Worksheet'!P24</f>
        <v>0</v>
      </c>
      <c r="AI9" s="294" t="str">
        <f>IF('HVAC Worksheet'!Q24="","",'HVAC Worksheet'!Q24)</f>
        <v/>
      </c>
      <c r="AJ9" t="str">
        <f>IF('HVAC Worksheet'!F24="","",'HVAC Worksheet'!F24)</f>
        <v/>
      </c>
      <c r="AK9" t="str">
        <f>IF('HVAC Worksheet'!G24="","",'HVAC Worksheet'!G24)</f>
        <v/>
      </c>
      <c r="AL9" t="str">
        <f>IF(C9="","",Calculations!I14)</f>
        <v/>
      </c>
      <c r="AM9" t="str">
        <f>IF(C9="","",'HVAC Worksheet'!AF24/'HVAC Worksheet'!I24)</f>
        <v/>
      </c>
      <c r="AN9" t="str">
        <f t="shared" si="0"/>
        <v/>
      </c>
    </row>
    <row r="10" spans="1:41" ht="14.5" x14ac:dyDescent="0.35">
      <c r="A10">
        <f t="shared" si="1"/>
        <v>9</v>
      </c>
      <c r="C10" t="str">
        <f>IF(Calculations!Y15="Fail","",INDEX('HVAC Types'!$B$2:$B$90,MATCH(Calculations!$BR15,'HVAC Types'!$A$2:$A$90,0)))</f>
        <v/>
      </c>
      <c r="D10" t="str">
        <f>IF(C10="","",INDEX('HVAC Types'!$C$2:$C$90,MATCH(Calculations!$BR15,'HVAC Types'!$A$2:$A$90,0)))</f>
        <v/>
      </c>
      <c r="E10" t="str">
        <f>IF(C10="","",INDEX('HVAC Types'!$D$2:$D$90,MATCH(Calculations!$BR15,'HVAC Types'!$A$2:$A$90,0)))</f>
        <v/>
      </c>
      <c r="F10" t="str">
        <f>IF(Calculations!J15="","",Calculations!J15)</f>
        <v/>
      </c>
      <c r="G10" t="str">
        <f>IF(OR('HVAC Worksheet'!$C$12="",'HVAC Worksheet'!B25=""),"",'HVAC Worksheet'!$C$12)</f>
        <v/>
      </c>
      <c r="J10" t="str">
        <f>IF(E10="","",Calculations!BR15)</f>
        <v/>
      </c>
      <c r="K10" s="270" t="str">
        <f>IF(C10="","",IF(Calculations!$BP15="Tier 0",Calculations!AJ15,Calculations!#REF!))</f>
        <v/>
      </c>
      <c r="L10" s="270" t="str">
        <f>IF(C10="","",IF(Calculations!$BP15="Tier 0",Calculations!AK15,Calculations!#REF!))</f>
        <v/>
      </c>
      <c r="M10" s="270" t="str">
        <f>IF(C10="","",IF(Calculations!$BP15="Tier 0",Calculations!AL15,Calculations!#REF!))</f>
        <v/>
      </c>
      <c r="N10" s="270" t="str">
        <f>IF(C10="","",IF(Calculations!$BP15="Tier 0",Calculations!AM15,Calculations!#REF!))</f>
        <v/>
      </c>
      <c r="O10" s="270" t="str">
        <f>Calculations!K15</f>
        <v/>
      </c>
      <c r="P10" s="270" t="str">
        <f>Calculations!L15</f>
        <v/>
      </c>
      <c r="Q10" s="270" t="str">
        <f>Calculations!M15</f>
        <v/>
      </c>
      <c r="R10" s="270" t="str">
        <f>Calculations!N15</f>
        <v/>
      </c>
      <c r="S10" t="str">
        <f>IF(C10="","",INDEX(References!$E$118:$E$134,MATCH('HVAC Worksheet'!$B25,References!$D$118:$D$134,0)))</f>
        <v/>
      </c>
      <c r="T10" t="str">
        <f>IF(C10="","",INDEX(References!$F$118:$F$129,MATCH('HVAC Worksheet'!$B25,References!$D$118:$D$129,0)))</f>
        <v/>
      </c>
      <c r="U10" t="str">
        <f>IF(C10="","",INDEX(References!$G$118:$G$129,MATCH('HVAC Worksheet'!$B25,References!$D$118:$D$129,0)))</f>
        <v/>
      </c>
      <c r="V10" s="295" t="str">
        <f>IF(C10="","",Calculations!AB15)</f>
        <v/>
      </c>
      <c r="W10" s="295" t="str">
        <f>IF(C10="","",Calculations!AA15)</f>
        <v/>
      </c>
      <c r="X10" s="350" t="str">
        <f>IF(C10="","",Calculations!#REF!)</f>
        <v/>
      </c>
      <c r="Y10" s="351" t="str">
        <f>IF(C10="","",Calculations!#REF!)</f>
        <v/>
      </c>
      <c r="Z10" s="352" t="str">
        <f t="shared" si="2"/>
        <v/>
      </c>
      <c r="AA10" s="351" t="str">
        <f t="shared" si="3"/>
        <v/>
      </c>
      <c r="AB10" s="353" t="str">
        <f t="shared" si="4"/>
        <v/>
      </c>
      <c r="AC10" s="353" t="str">
        <f>IF('HVAC Worksheet'!B25="","",Calculations!#REF!)</f>
        <v/>
      </c>
      <c r="AD10" s="351" t="str">
        <f>IF('HVAC Worksheet'!B25="","",Calculations!#REF!)</f>
        <v/>
      </c>
      <c r="AE10" s="348" t="str">
        <f>IF(AC10="","",AC10*References!$B$21)</f>
        <v/>
      </c>
      <c r="AF10" s="348" t="str">
        <f>IF(AC10="","",AC10*References!$B$29)</f>
        <v/>
      </c>
      <c r="AG10" s="294">
        <f>'HVAC Worksheet'!O25</f>
        <v>0</v>
      </c>
      <c r="AH10" s="294">
        <f>'HVAC Worksheet'!P25</f>
        <v>0</v>
      </c>
      <c r="AI10" s="294" t="str">
        <f>IF('HVAC Worksheet'!Q25="","",'HVAC Worksheet'!Q25)</f>
        <v/>
      </c>
      <c r="AJ10" t="str">
        <f>IF('HVAC Worksheet'!F25="","",'HVAC Worksheet'!F25)</f>
        <v/>
      </c>
      <c r="AK10" t="str">
        <f>IF('HVAC Worksheet'!G25="","",'HVAC Worksheet'!G25)</f>
        <v/>
      </c>
      <c r="AL10" t="str">
        <f>IF(C10="","",Calculations!I15)</f>
        <v/>
      </c>
      <c r="AM10" t="str">
        <f>IF(C10="","",'HVAC Worksheet'!AF25/'HVAC Worksheet'!I25)</f>
        <v/>
      </c>
      <c r="AN10" t="str">
        <f t="shared" si="0"/>
        <v/>
      </c>
    </row>
    <row r="11" spans="1:41" ht="14.5" x14ac:dyDescent="0.35">
      <c r="A11">
        <f t="shared" si="1"/>
        <v>10</v>
      </c>
      <c r="C11" t="str">
        <f>IF(Calculations!Y16="Fail","",INDEX('HVAC Types'!$B$2:$B$90,MATCH(Calculations!$BR16,'HVAC Types'!$A$2:$A$90,0)))</f>
        <v/>
      </c>
      <c r="D11" t="str">
        <f>IF(C11="","",INDEX('HVAC Types'!$C$2:$C$90,MATCH(Calculations!$BR16,'HVAC Types'!$A$2:$A$90,0)))</f>
        <v/>
      </c>
      <c r="E11" t="str">
        <f>IF(C11="","",INDEX('HVAC Types'!$D$2:$D$90,MATCH(Calculations!$BR16,'HVAC Types'!$A$2:$A$90,0)))</f>
        <v/>
      </c>
      <c r="F11" t="str">
        <f>IF(Calculations!J16="","",Calculations!J16)</f>
        <v/>
      </c>
      <c r="G11" t="str">
        <f>IF(OR('HVAC Worksheet'!$C$12="",'HVAC Worksheet'!B26=""),"",'HVAC Worksheet'!$C$12)</f>
        <v/>
      </c>
      <c r="J11" t="str">
        <f>IF(E11="","",Calculations!BR16)</f>
        <v/>
      </c>
      <c r="K11" s="270" t="str">
        <f>IF(C11="","",IF(Calculations!$BP16="Tier 0",Calculations!AJ16,Calculations!#REF!))</f>
        <v/>
      </c>
      <c r="L11" s="270" t="str">
        <f>IF(C11="","",IF(Calculations!$BP16="Tier 0",Calculations!AK16,Calculations!#REF!))</f>
        <v/>
      </c>
      <c r="M11" s="270" t="str">
        <f>IF(C11="","",IF(Calculations!$BP16="Tier 0",Calculations!AL16,Calculations!#REF!))</f>
        <v/>
      </c>
      <c r="N11" s="270" t="str">
        <f>IF(C11="","",IF(Calculations!$BP16="Tier 0",Calculations!AM16,Calculations!#REF!))</f>
        <v/>
      </c>
      <c r="O11" s="270" t="str">
        <f>Calculations!K16</f>
        <v/>
      </c>
      <c r="P11" s="270" t="str">
        <f>Calculations!L16</f>
        <v/>
      </c>
      <c r="Q11" s="270" t="str">
        <f>Calculations!M16</f>
        <v/>
      </c>
      <c r="R11" s="270" t="str">
        <f>Calculations!N16</f>
        <v/>
      </c>
      <c r="S11" t="str">
        <f>IF(C11="","",INDEX(References!$E$118:$E$134,MATCH('HVAC Worksheet'!$B26,References!$D$118:$D$134,0)))</f>
        <v/>
      </c>
      <c r="T11" t="str">
        <f>IF(C11="","",INDEX(References!$F$118:$F$129,MATCH('HVAC Worksheet'!$B26,References!$D$118:$D$129,0)))</f>
        <v/>
      </c>
      <c r="U11" t="str">
        <f>IF(C11="","",INDEX(References!$G$118:$G$129,MATCH('HVAC Worksheet'!$B26,References!$D$118:$D$129,0)))</f>
        <v/>
      </c>
      <c r="V11" s="295" t="str">
        <f>IF(C11="","",Calculations!AB16)</f>
        <v/>
      </c>
      <c r="W11" s="295" t="str">
        <f>IF(C11="","",Calculations!AA16)</f>
        <v/>
      </c>
      <c r="X11" s="350" t="str">
        <f>IF(C11="","",Calculations!#REF!)</f>
        <v/>
      </c>
      <c r="Y11" s="351" t="str">
        <f>IF(C11="","",Calculations!#REF!)</f>
        <v/>
      </c>
      <c r="Z11" s="352" t="str">
        <f t="shared" si="2"/>
        <v/>
      </c>
      <c r="AA11" s="351" t="str">
        <f t="shared" si="3"/>
        <v/>
      </c>
      <c r="AB11" s="353" t="str">
        <f t="shared" si="4"/>
        <v/>
      </c>
      <c r="AC11" s="353" t="str">
        <f>IF('HVAC Worksheet'!B26="","",Calculations!#REF!)</f>
        <v/>
      </c>
      <c r="AD11" s="351" t="str">
        <f>IF('HVAC Worksheet'!B26="","",Calculations!#REF!)</f>
        <v/>
      </c>
      <c r="AE11" s="348" t="str">
        <f>IF(AC11="","",AC11*References!$B$21)</f>
        <v/>
      </c>
      <c r="AF11" s="348" t="str">
        <f>IF(AC11="","",AC11*References!$B$29)</f>
        <v/>
      </c>
      <c r="AG11" s="294">
        <f>'HVAC Worksheet'!O26</f>
        <v>0</v>
      </c>
      <c r="AH11" s="294">
        <f>'HVAC Worksheet'!P26</f>
        <v>0</v>
      </c>
      <c r="AI11" s="294" t="str">
        <f>IF('HVAC Worksheet'!Q26="","",'HVAC Worksheet'!Q26)</f>
        <v/>
      </c>
      <c r="AJ11" t="str">
        <f>IF('HVAC Worksheet'!F26="","",'HVAC Worksheet'!F26)</f>
        <v/>
      </c>
      <c r="AK11" t="str">
        <f>IF('HVAC Worksheet'!G26="","",'HVAC Worksheet'!G26)</f>
        <v/>
      </c>
      <c r="AL11" t="str">
        <f>IF(C11="","",Calculations!I16)</f>
        <v/>
      </c>
      <c r="AM11" t="str">
        <f>IF(C11="","",'HVAC Worksheet'!AF26/'HVAC Worksheet'!I26)</f>
        <v/>
      </c>
      <c r="AN11" t="str">
        <f t="shared" si="0"/>
        <v/>
      </c>
    </row>
    <row r="12" spans="1:41" ht="14.5" x14ac:dyDescent="0.35">
      <c r="A12">
        <f t="shared" si="1"/>
        <v>11</v>
      </c>
      <c r="C12" t="str">
        <f>IF(Calculations!Y17="Fail","",INDEX('HVAC Types'!$B$2:$B$90,MATCH(Calculations!$BR17,'HVAC Types'!$A$2:$A$90,0)))</f>
        <v/>
      </c>
      <c r="D12" t="str">
        <f>IF(C12="","",INDEX('HVAC Types'!$C$2:$C$90,MATCH(Calculations!$BR17,'HVAC Types'!$A$2:$A$90,0)))</f>
        <v/>
      </c>
      <c r="E12" t="str">
        <f>IF(C12="","",INDEX('HVAC Types'!$D$2:$D$90,MATCH(Calculations!$BR17,'HVAC Types'!$A$2:$A$90,0)))</f>
        <v/>
      </c>
      <c r="F12" t="str">
        <f>IF(Calculations!J17="","",Calculations!J17)</f>
        <v/>
      </c>
      <c r="G12" t="str">
        <f>IF(OR('HVAC Worksheet'!$C$12="",'HVAC Worksheet'!B27=""),"",'HVAC Worksheet'!$C$12)</f>
        <v/>
      </c>
      <c r="J12" t="str">
        <f>IF(E12="","",Calculations!BR17)</f>
        <v/>
      </c>
      <c r="K12" s="270" t="str">
        <f>IF(C12="","",IF(Calculations!$BP17="Tier 0",Calculations!AJ17,Calculations!#REF!))</f>
        <v/>
      </c>
      <c r="L12" s="270" t="str">
        <f>IF(C12="","",IF(Calculations!$BP17="Tier 0",Calculations!AK17,Calculations!#REF!))</f>
        <v/>
      </c>
      <c r="M12" s="270" t="str">
        <f>IF(C12="","",IF(Calculations!$BP17="Tier 0",Calculations!AL17,Calculations!#REF!))</f>
        <v/>
      </c>
      <c r="N12" s="270" t="str">
        <f>IF(C12="","",IF(Calculations!$BP17="Tier 0",Calculations!AM17,Calculations!#REF!))</f>
        <v/>
      </c>
      <c r="O12" s="270" t="str">
        <f>Calculations!K17</f>
        <v/>
      </c>
      <c r="P12" s="270" t="str">
        <f>Calculations!L17</f>
        <v/>
      </c>
      <c r="Q12" s="270" t="str">
        <f>Calculations!M17</f>
        <v/>
      </c>
      <c r="R12" s="270" t="str">
        <f>Calculations!N17</f>
        <v/>
      </c>
      <c r="S12" t="str">
        <f>IF(C12="","",INDEX(References!$E$118:$E$134,MATCH('HVAC Worksheet'!$B27,References!$D$118:$D$134,0)))</f>
        <v/>
      </c>
      <c r="T12" t="str">
        <f>IF(C12="","",INDEX(References!$F$118:$F$129,MATCH('HVAC Worksheet'!$B27,References!$D$118:$D$129,0)))</f>
        <v/>
      </c>
      <c r="U12" t="str">
        <f>IF(C12="","",INDEX(References!$G$118:$G$129,MATCH('HVAC Worksheet'!$B27,References!$D$118:$D$129,0)))</f>
        <v/>
      </c>
      <c r="V12" s="295" t="str">
        <f>IF(C12="","",Calculations!AB17)</f>
        <v/>
      </c>
      <c r="W12" s="295" t="str">
        <f>IF(C12="","",Calculations!AA17)</f>
        <v/>
      </c>
      <c r="X12" s="350" t="str">
        <f>IF(C12="","",Calculations!#REF!)</f>
        <v/>
      </c>
      <c r="Y12" s="351" t="str">
        <f>IF(C12="","",Calculations!#REF!)</f>
        <v/>
      </c>
      <c r="Z12" s="352" t="str">
        <f t="shared" si="2"/>
        <v/>
      </c>
      <c r="AA12" s="351" t="str">
        <f t="shared" si="3"/>
        <v/>
      </c>
      <c r="AB12" s="353" t="str">
        <f t="shared" si="4"/>
        <v/>
      </c>
      <c r="AC12" s="353" t="str">
        <f>IF('HVAC Worksheet'!B27="","",Calculations!#REF!)</f>
        <v/>
      </c>
      <c r="AD12" s="351" t="str">
        <f>IF('HVAC Worksheet'!B27="","",Calculations!#REF!)</f>
        <v/>
      </c>
      <c r="AE12" s="348" t="str">
        <f>IF(AC12="","",AC12*References!$B$21)</f>
        <v/>
      </c>
      <c r="AF12" s="348" t="str">
        <f>IF(AC12="","",AC12*References!$B$29)</f>
        <v/>
      </c>
      <c r="AG12" s="294">
        <f>'HVAC Worksheet'!O27</f>
        <v>0</v>
      </c>
      <c r="AH12" s="294">
        <f>'HVAC Worksheet'!P27</f>
        <v>0</v>
      </c>
      <c r="AI12" s="294" t="str">
        <f>IF('HVAC Worksheet'!Q27="","",'HVAC Worksheet'!Q27)</f>
        <v/>
      </c>
      <c r="AJ12" t="str">
        <f>IF('HVAC Worksheet'!F27="","",'HVAC Worksheet'!F27)</f>
        <v/>
      </c>
      <c r="AK12" t="str">
        <f>IF('HVAC Worksheet'!G27="","",'HVAC Worksheet'!G27)</f>
        <v/>
      </c>
      <c r="AL12" t="str">
        <f>IF(C12="","",Calculations!I17)</f>
        <v/>
      </c>
      <c r="AM12" t="str">
        <f>IF(C12="","",'HVAC Worksheet'!AF27/'HVAC Worksheet'!I27)</f>
        <v/>
      </c>
      <c r="AN12" t="str">
        <f t="shared" si="0"/>
        <v/>
      </c>
    </row>
    <row r="13" spans="1:41" ht="14.5" x14ac:dyDescent="0.35">
      <c r="A13">
        <f t="shared" si="1"/>
        <v>12</v>
      </c>
      <c r="C13" t="str">
        <f>IF(Calculations!Y18="Fail","",INDEX('HVAC Types'!$B$2:$B$90,MATCH(Calculations!$BR18,'HVAC Types'!$A$2:$A$90,0)))</f>
        <v/>
      </c>
      <c r="D13" t="str">
        <f>IF(C13="","",INDEX('HVAC Types'!$C$2:$C$90,MATCH(Calculations!$BR18,'HVAC Types'!$A$2:$A$90,0)))</f>
        <v/>
      </c>
      <c r="E13" t="str">
        <f>IF(C13="","",INDEX('HVAC Types'!$D$2:$D$90,MATCH(Calculations!$BR18,'HVAC Types'!$A$2:$A$90,0)))</f>
        <v/>
      </c>
      <c r="F13" t="str">
        <f>IF(Calculations!J18="","",Calculations!J18)</f>
        <v/>
      </c>
      <c r="G13" t="str">
        <f>IF(OR('HVAC Worksheet'!$C$12="",'HVAC Worksheet'!B28=""),"",'HVAC Worksheet'!$C$12)</f>
        <v/>
      </c>
      <c r="J13" t="str">
        <f>IF(E13="","",Calculations!BR18)</f>
        <v/>
      </c>
      <c r="K13" s="270" t="str">
        <f>IF(C13="","",IF(Calculations!$BP18="Tier 0",Calculations!AJ18,Calculations!#REF!))</f>
        <v/>
      </c>
      <c r="L13" s="270" t="str">
        <f>IF(C13="","",IF(Calculations!$BP18="Tier 0",Calculations!AK18,Calculations!#REF!))</f>
        <v/>
      </c>
      <c r="M13" s="270" t="str">
        <f>IF(C13="","",IF(Calculations!$BP18="Tier 0",Calculations!AL18,Calculations!#REF!))</f>
        <v/>
      </c>
      <c r="N13" s="270" t="str">
        <f>IF(C13="","",IF(Calculations!$BP18="Tier 0",Calculations!AM18,Calculations!#REF!))</f>
        <v/>
      </c>
      <c r="O13" s="270" t="str">
        <f>Calculations!K18</f>
        <v/>
      </c>
      <c r="P13" s="270" t="str">
        <f>Calculations!L18</f>
        <v/>
      </c>
      <c r="Q13" s="270" t="str">
        <f>Calculations!M18</f>
        <v/>
      </c>
      <c r="R13" s="270" t="str">
        <f>Calculations!N18</f>
        <v/>
      </c>
      <c r="S13" t="str">
        <f>IF(C13="","",INDEX(References!$E$118:$E$134,MATCH('HVAC Worksheet'!$B28,References!$D$118:$D$134,0)))</f>
        <v/>
      </c>
      <c r="T13" t="str">
        <f>IF(C13="","",INDEX(References!$F$118:$F$129,MATCH('HVAC Worksheet'!$B28,References!$D$118:$D$129,0)))</f>
        <v/>
      </c>
      <c r="U13" t="str">
        <f>IF(C13="","",INDEX(References!$G$118:$G$129,MATCH('HVAC Worksheet'!$B28,References!$D$118:$D$129,0)))</f>
        <v/>
      </c>
      <c r="V13" s="295" t="str">
        <f>IF(C13="","",Calculations!AB18)</f>
        <v/>
      </c>
      <c r="W13" s="295" t="str">
        <f>IF(C13="","",Calculations!AA18)</f>
        <v/>
      </c>
      <c r="X13" s="350" t="str">
        <f>IF(C13="","",Calculations!#REF!)</f>
        <v/>
      </c>
      <c r="Y13" s="351" t="str">
        <f>IF(C13="","",Calculations!#REF!)</f>
        <v/>
      </c>
      <c r="Z13" s="352" t="str">
        <f t="shared" si="2"/>
        <v/>
      </c>
      <c r="AA13" s="351" t="str">
        <f t="shared" si="3"/>
        <v/>
      </c>
      <c r="AB13" s="353" t="str">
        <f t="shared" si="4"/>
        <v/>
      </c>
      <c r="AC13" s="353" t="str">
        <f>IF('HVAC Worksheet'!B28="","",Calculations!#REF!)</f>
        <v/>
      </c>
      <c r="AD13" s="351" t="str">
        <f>IF('HVAC Worksheet'!B28="","",Calculations!#REF!)</f>
        <v/>
      </c>
      <c r="AE13" s="348" t="str">
        <f>IF(AC13="","",AC13*References!$B$21)</f>
        <v/>
      </c>
      <c r="AF13" s="348" t="str">
        <f>IF(AC13="","",AC13*References!$B$29)</f>
        <v/>
      </c>
      <c r="AG13" s="294">
        <f>'HVAC Worksheet'!O28</f>
        <v>0</v>
      </c>
      <c r="AH13" s="294">
        <f>'HVAC Worksheet'!P28</f>
        <v>0</v>
      </c>
      <c r="AI13" s="294" t="str">
        <f>IF('HVAC Worksheet'!Q28="","",'HVAC Worksheet'!Q28)</f>
        <v/>
      </c>
      <c r="AJ13" t="str">
        <f>IF('HVAC Worksheet'!F28="","",'HVAC Worksheet'!F28)</f>
        <v/>
      </c>
      <c r="AK13" t="str">
        <f>IF('HVAC Worksheet'!G28="","",'HVAC Worksheet'!G28)</f>
        <v/>
      </c>
      <c r="AL13" t="str">
        <f>IF(C13="","",Calculations!I18)</f>
        <v/>
      </c>
      <c r="AM13" t="str">
        <f>IF(C13="","",'HVAC Worksheet'!AF28/'HVAC Worksheet'!I28)</f>
        <v/>
      </c>
      <c r="AN13" t="str">
        <f t="shared" si="0"/>
        <v/>
      </c>
    </row>
    <row r="14" spans="1:41" ht="14.5" x14ac:dyDescent="0.35">
      <c r="A14">
        <f t="shared" si="1"/>
        <v>13</v>
      </c>
      <c r="C14" t="str">
        <f>IF(Calculations!Y19="Fail","",INDEX('HVAC Types'!$B$2:$B$90,MATCH(Calculations!$BR19,'HVAC Types'!$A$2:$A$90,0)))</f>
        <v/>
      </c>
      <c r="D14" t="str">
        <f>IF(C14="","",INDEX('HVAC Types'!$C$2:$C$90,MATCH(Calculations!$BR19,'HVAC Types'!$A$2:$A$90,0)))</f>
        <v/>
      </c>
      <c r="E14" t="str">
        <f>IF(C14="","",INDEX('HVAC Types'!$D$2:$D$90,MATCH(Calculations!$BR19,'HVAC Types'!$A$2:$A$90,0)))</f>
        <v/>
      </c>
      <c r="F14" t="str">
        <f>IF(Calculations!J19="","",Calculations!J19)</f>
        <v/>
      </c>
      <c r="G14" t="str">
        <f>IF(OR('HVAC Worksheet'!$C$12="",'HVAC Worksheet'!B29=""),"",'HVAC Worksheet'!$C$12)</f>
        <v/>
      </c>
      <c r="J14" t="str">
        <f>IF(E14="","",Calculations!BR19)</f>
        <v/>
      </c>
      <c r="K14" s="270" t="str">
        <f>IF(C14="","",IF(Calculations!$BP19="Tier 0",Calculations!AJ19,Calculations!#REF!))</f>
        <v/>
      </c>
      <c r="L14" s="270" t="str">
        <f>IF(C14="","",IF(Calculations!$BP19="Tier 0",Calculations!AK19,Calculations!#REF!))</f>
        <v/>
      </c>
      <c r="M14" s="270" t="str">
        <f>IF(C14="","",IF(Calculations!$BP19="Tier 0",Calculations!AL19,Calculations!#REF!))</f>
        <v/>
      </c>
      <c r="N14" s="270" t="str">
        <f>IF(C14="","",IF(Calculations!$BP19="Tier 0",Calculations!AM19,Calculations!#REF!))</f>
        <v/>
      </c>
      <c r="O14" s="270" t="str">
        <f>Calculations!K19</f>
        <v/>
      </c>
      <c r="P14" s="270" t="str">
        <f>Calculations!L19</f>
        <v/>
      </c>
      <c r="Q14" s="270" t="str">
        <f>Calculations!M19</f>
        <v/>
      </c>
      <c r="R14" s="270" t="str">
        <f>Calculations!N19</f>
        <v/>
      </c>
      <c r="S14" t="str">
        <f>IF(C14="","",INDEX(References!$E$118:$E$134,MATCH('HVAC Worksheet'!$B29,References!$D$118:$D$134,0)))</f>
        <v/>
      </c>
      <c r="T14" t="str">
        <f>IF(C14="","",INDEX(References!$F$118:$F$129,MATCH('HVAC Worksheet'!$B29,References!$D$118:$D$129,0)))</f>
        <v/>
      </c>
      <c r="U14" t="str">
        <f>IF(C14="","",INDEX(References!$G$118:$G$129,MATCH('HVAC Worksheet'!$B29,References!$D$118:$D$129,0)))</f>
        <v/>
      </c>
      <c r="V14" s="295" t="str">
        <f>IF(C14="","",Calculations!AB19)</f>
        <v/>
      </c>
      <c r="W14" s="295" t="str">
        <f>IF(C14="","",Calculations!AA19)</f>
        <v/>
      </c>
      <c r="X14" s="350" t="str">
        <f>IF(C14="","",Calculations!#REF!)</f>
        <v/>
      </c>
      <c r="Y14" s="351" t="str">
        <f>IF(C14="","",Calculations!#REF!)</f>
        <v/>
      </c>
      <c r="Z14" s="352" t="str">
        <f t="shared" si="2"/>
        <v/>
      </c>
      <c r="AA14" s="351" t="str">
        <f t="shared" si="3"/>
        <v/>
      </c>
      <c r="AB14" s="353" t="str">
        <f t="shared" si="4"/>
        <v/>
      </c>
      <c r="AC14" s="353" t="str">
        <f>IF('HVAC Worksheet'!B29="","",Calculations!#REF!)</f>
        <v/>
      </c>
      <c r="AD14" s="351" t="str">
        <f>IF('HVAC Worksheet'!B29="","",Calculations!#REF!)</f>
        <v/>
      </c>
      <c r="AE14" s="348" t="str">
        <f>IF(AC14="","",AC14*References!$B$21)</f>
        <v/>
      </c>
      <c r="AF14" s="348" t="str">
        <f>IF(AC14="","",AC14*References!$B$29)</f>
        <v/>
      </c>
      <c r="AG14" s="294">
        <f>'HVAC Worksheet'!O29</f>
        <v>0</v>
      </c>
      <c r="AH14" s="294">
        <f>'HVAC Worksheet'!P29</f>
        <v>0</v>
      </c>
      <c r="AI14" s="294" t="str">
        <f>IF('HVAC Worksheet'!Q29="","",'HVAC Worksheet'!Q29)</f>
        <v/>
      </c>
      <c r="AJ14" t="str">
        <f>IF('HVAC Worksheet'!F29="","",'HVAC Worksheet'!F29)</f>
        <v/>
      </c>
      <c r="AK14" t="str">
        <f>IF('HVAC Worksheet'!G29="","",'HVAC Worksheet'!G29)</f>
        <v/>
      </c>
      <c r="AL14" t="str">
        <f>IF(C14="","",Calculations!I19)</f>
        <v/>
      </c>
      <c r="AM14" t="str">
        <f>IF(C14="","",'HVAC Worksheet'!AF29/'HVAC Worksheet'!I29)</f>
        <v/>
      </c>
      <c r="AN14" t="str">
        <f t="shared" si="0"/>
        <v/>
      </c>
    </row>
    <row r="15" spans="1:41" ht="14.5" x14ac:dyDescent="0.35">
      <c r="A15">
        <f t="shared" si="1"/>
        <v>14</v>
      </c>
      <c r="C15" t="str">
        <f>IF(Calculations!Y20="Fail","",INDEX('HVAC Types'!$B$2:$B$90,MATCH(Calculations!$BR20,'HVAC Types'!$A$2:$A$90,0)))</f>
        <v/>
      </c>
      <c r="D15" t="str">
        <f>IF(C15="","",INDEX('HVAC Types'!$C$2:$C$90,MATCH(Calculations!$BR20,'HVAC Types'!$A$2:$A$90,0)))</f>
        <v/>
      </c>
      <c r="E15" t="str">
        <f>IF(C15="","",INDEX('HVAC Types'!$D$2:$D$90,MATCH(Calculations!$BR20,'HVAC Types'!$A$2:$A$90,0)))</f>
        <v/>
      </c>
      <c r="F15" t="str">
        <f>IF(Calculations!J20="","",Calculations!J20)</f>
        <v/>
      </c>
      <c r="G15" t="str">
        <f>IF(OR('HVAC Worksheet'!$C$12="",'HVAC Worksheet'!B30=""),"",'HVAC Worksheet'!$C$12)</f>
        <v/>
      </c>
      <c r="J15" t="str">
        <f>IF(E15="","",Calculations!BR20)</f>
        <v/>
      </c>
      <c r="K15" s="270" t="str">
        <f>IF(C15="","",IF(Calculations!$BP20="Tier 0",Calculations!AJ20,Calculations!#REF!))</f>
        <v/>
      </c>
      <c r="L15" s="270" t="str">
        <f>IF(C15="","",IF(Calculations!$BP20="Tier 0",Calculations!AK20,Calculations!#REF!))</f>
        <v/>
      </c>
      <c r="M15" s="270" t="str">
        <f>IF(C15="","",IF(Calculations!$BP20="Tier 0",Calculations!AL20,Calculations!#REF!))</f>
        <v/>
      </c>
      <c r="N15" s="270" t="str">
        <f>IF(C15="","",IF(Calculations!$BP20="Tier 0",Calculations!AM20,Calculations!#REF!))</f>
        <v/>
      </c>
      <c r="O15" s="270" t="str">
        <f>Calculations!K20</f>
        <v/>
      </c>
      <c r="P15" s="270" t="str">
        <f>Calculations!L20</f>
        <v/>
      </c>
      <c r="Q15" s="270" t="str">
        <f>Calculations!M20</f>
        <v/>
      </c>
      <c r="R15" s="270" t="str">
        <f>Calculations!N20</f>
        <v/>
      </c>
      <c r="S15" t="str">
        <f>IF(C15="","",INDEX(References!$E$118:$E$134,MATCH('HVAC Worksheet'!$B30,References!$D$118:$D$134,0)))</f>
        <v/>
      </c>
      <c r="T15" t="str">
        <f>IF(C15="","",INDEX(References!$F$118:$F$129,MATCH('HVAC Worksheet'!$B30,References!$D$118:$D$129,0)))</f>
        <v/>
      </c>
      <c r="U15" t="str">
        <f>IF(C15="","",INDEX(References!$G$118:$G$129,MATCH('HVAC Worksheet'!$B30,References!$D$118:$D$129,0)))</f>
        <v/>
      </c>
      <c r="V15" s="295" t="str">
        <f>IF(C15="","",Calculations!AB20)</f>
        <v/>
      </c>
      <c r="W15" s="295" t="str">
        <f>IF(C15="","",Calculations!AA20)</f>
        <v/>
      </c>
      <c r="X15" s="350" t="str">
        <f>IF(C15="","",Calculations!#REF!)</f>
        <v/>
      </c>
      <c r="Y15" s="351" t="str">
        <f>IF(C15="","",Calculations!#REF!)</f>
        <v/>
      </c>
      <c r="Z15" s="352" t="str">
        <f t="shared" si="2"/>
        <v/>
      </c>
      <c r="AA15" s="351" t="str">
        <f t="shared" si="3"/>
        <v/>
      </c>
      <c r="AB15" s="353" t="str">
        <f t="shared" si="4"/>
        <v/>
      </c>
      <c r="AC15" s="353" t="str">
        <f>IF('HVAC Worksheet'!B30="","",Calculations!#REF!)</f>
        <v/>
      </c>
      <c r="AD15" s="351" t="str">
        <f>IF('HVAC Worksheet'!B30="","",Calculations!#REF!)</f>
        <v/>
      </c>
      <c r="AE15" s="348" t="str">
        <f>IF(AC15="","",AC15*References!$B$21)</f>
        <v/>
      </c>
      <c r="AF15" s="348" t="str">
        <f>IF(AC15="","",AC15*References!$B$29)</f>
        <v/>
      </c>
      <c r="AG15" s="294">
        <f>'HVAC Worksheet'!O30</f>
        <v>0</v>
      </c>
      <c r="AH15" s="294">
        <f>'HVAC Worksheet'!P30</f>
        <v>0</v>
      </c>
      <c r="AI15" s="294" t="str">
        <f>IF('HVAC Worksheet'!Q30="","",'HVAC Worksheet'!Q30)</f>
        <v/>
      </c>
      <c r="AJ15" t="str">
        <f>IF('HVAC Worksheet'!F30="","",'HVAC Worksheet'!F30)</f>
        <v/>
      </c>
      <c r="AK15" t="str">
        <f>IF('HVAC Worksheet'!G30="","",'HVAC Worksheet'!G30)</f>
        <v/>
      </c>
      <c r="AL15" t="str">
        <f>IF(C15="","",Calculations!I20)</f>
        <v/>
      </c>
      <c r="AM15" t="str">
        <f>IF(C15="","",'HVAC Worksheet'!AF30/'HVAC Worksheet'!I30)</f>
        <v/>
      </c>
      <c r="AN15" t="str">
        <f t="shared" si="0"/>
        <v/>
      </c>
    </row>
    <row r="16" spans="1:41" ht="14.5" x14ac:dyDescent="0.35">
      <c r="A16">
        <f t="shared" si="1"/>
        <v>15</v>
      </c>
      <c r="C16" t="str">
        <f>IF(Calculations!Y21="Fail","",INDEX('HVAC Types'!$B$2:$B$90,MATCH(Calculations!$BR21,'HVAC Types'!$A$2:$A$90,0)))</f>
        <v/>
      </c>
      <c r="D16" t="str">
        <f>IF(C16="","",INDEX('HVAC Types'!$C$2:$C$90,MATCH(Calculations!$BR21,'HVAC Types'!$A$2:$A$90,0)))</f>
        <v/>
      </c>
      <c r="E16" t="str">
        <f>IF(C16="","",INDEX('HVAC Types'!$D$2:$D$90,MATCH(Calculations!$BR21,'HVAC Types'!$A$2:$A$90,0)))</f>
        <v/>
      </c>
      <c r="F16" t="str">
        <f>IF(Calculations!J21="","",Calculations!J21)</f>
        <v/>
      </c>
      <c r="G16" t="str">
        <f>IF(OR('HVAC Worksheet'!$C$12="",'HVAC Worksheet'!B31=""),"",'HVAC Worksheet'!$C$12)</f>
        <v/>
      </c>
      <c r="J16" t="str">
        <f>IF(E16="","",Calculations!BR21)</f>
        <v/>
      </c>
      <c r="K16" s="270" t="str">
        <f>IF(C16="","",IF(Calculations!$BP21="Tier 0",Calculations!AJ21,Calculations!#REF!))</f>
        <v/>
      </c>
      <c r="L16" s="270" t="str">
        <f>IF(C16="","",IF(Calculations!$BP21="Tier 0",Calculations!AK21,Calculations!#REF!))</f>
        <v/>
      </c>
      <c r="M16" s="270" t="str">
        <f>IF(C16="","",IF(Calculations!$BP21="Tier 0",Calculations!AL21,Calculations!#REF!))</f>
        <v/>
      </c>
      <c r="N16" s="270" t="str">
        <f>IF(C16="","",IF(Calculations!$BP21="Tier 0",Calculations!AM21,Calculations!#REF!))</f>
        <v/>
      </c>
      <c r="O16" s="270" t="str">
        <f>Calculations!K21</f>
        <v/>
      </c>
      <c r="P16" s="270" t="str">
        <f>Calculations!L21</f>
        <v/>
      </c>
      <c r="Q16" s="270" t="str">
        <f>Calculations!M21</f>
        <v/>
      </c>
      <c r="R16" s="270" t="str">
        <f>Calculations!N21</f>
        <v/>
      </c>
      <c r="S16" t="str">
        <f>IF(C16="","",INDEX(References!$E$118:$E$134,MATCH('HVAC Worksheet'!$B31,References!$D$118:$D$134,0)))</f>
        <v/>
      </c>
      <c r="T16" t="str">
        <f>IF(C16="","",INDEX(References!$F$118:$F$129,MATCH('HVAC Worksheet'!$B31,References!$D$118:$D$129,0)))</f>
        <v/>
      </c>
      <c r="U16" t="str">
        <f>IF(C16="","",INDEX(References!$G$118:$G$129,MATCH('HVAC Worksheet'!$B31,References!$D$118:$D$129,0)))</f>
        <v/>
      </c>
      <c r="V16" s="295" t="str">
        <f>IF(C16="","",Calculations!AB21)</f>
        <v/>
      </c>
      <c r="W16" s="295" t="str">
        <f>IF(C16="","",Calculations!AA21)</f>
        <v/>
      </c>
      <c r="X16" s="350" t="str">
        <f>IF(C16="","",Calculations!#REF!)</f>
        <v/>
      </c>
      <c r="Y16" s="351" t="str">
        <f>IF(C16="","",Calculations!#REF!)</f>
        <v/>
      </c>
      <c r="Z16" s="352" t="str">
        <f t="shared" si="2"/>
        <v/>
      </c>
      <c r="AA16" s="351" t="str">
        <f t="shared" si="3"/>
        <v/>
      </c>
      <c r="AB16" s="353" t="str">
        <f t="shared" si="4"/>
        <v/>
      </c>
      <c r="AC16" s="353" t="str">
        <f>IF('HVAC Worksheet'!B31="","",Calculations!#REF!)</f>
        <v/>
      </c>
      <c r="AD16" s="351" t="str">
        <f>IF('HVAC Worksheet'!B31="","",Calculations!#REF!)</f>
        <v/>
      </c>
      <c r="AE16" s="348" t="str">
        <f>IF(AC16="","",AC16*References!$B$21)</f>
        <v/>
      </c>
      <c r="AF16" s="348" t="str">
        <f>IF(AC16="","",AC16*References!$B$29)</f>
        <v/>
      </c>
      <c r="AG16" s="294">
        <f>'HVAC Worksheet'!O31</f>
        <v>0</v>
      </c>
      <c r="AH16" s="294">
        <f>'HVAC Worksheet'!P31</f>
        <v>0</v>
      </c>
      <c r="AI16" s="294" t="str">
        <f>IF('HVAC Worksheet'!Q31="","",'HVAC Worksheet'!Q31)</f>
        <v/>
      </c>
      <c r="AJ16" t="str">
        <f>IF('HVAC Worksheet'!F31="","",'HVAC Worksheet'!F31)</f>
        <v/>
      </c>
      <c r="AK16" t="str">
        <f>IF('HVAC Worksheet'!G31="","",'HVAC Worksheet'!G31)</f>
        <v/>
      </c>
      <c r="AL16" t="str">
        <f>IF(C16="","",Calculations!I21)</f>
        <v/>
      </c>
      <c r="AM16" t="str">
        <f>IF(C16="","",'HVAC Worksheet'!AF31/'HVAC Worksheet'!I31)</f>
        <v/>
      </c>
      <c r="AN16" t="str">
        <f t="shared" si="0"/>
        <v/>
      </c>
    </row>
    <row r="17" spans="1:40" ht="14.5" x14ac:dyDescent="0.35">
      <c r="A17">
        <f t="shared" si="1"/>
        <v>16</v>
      </c>
      <c r="C17" t="str">
        <f>IF(Calculations!Y22="Fail","",INDEX('HVAC Types'!$B$2:$B$90,MATCH(Calculations!$BR22,'HVAC Types'!$A$2:$A$90,0)))</f>
        <v/>
      </c>
      <c r="D17" t="str">
        <f>IF(C17="","",INDEX('HVAC Types'!$C$2:$C$90,MATCH(Calculations!$BR22,'HVAC Types'!$A$2:$A$90,0)))</f>
        <v/>
      </c>
      <c r="E17" t="str">
        <f>IF(C17="","",INDEX('HVAC Types'!$D$2:$D$90,MATCH(Calculations!$BR22,'HVAC Types'!$A$2:$A$90,0)))</f>
        <v/>
      </c>
      <c r="F17" t="str">
        <f>IF(Calculations!J22="","",Calculations!J22)</f>
        <v/>
      </c>
      <c r="G17" t="str">
        <f>IF(OR('HVAC Worksheet'!$C$12="",'HVAC Worksheet'!B32=""),"",'HVAC Worksheet'!$C$12)</f>
        <v/>
      </c>
      <c r="J17" t="str">
        <f>IF(E17="","",Calculations!BR22)</f>
        <v/>
      </c>
      <c r="K17" s="270" t="str">
        <f>IF(C17="","",IF(Calculations!$BP22="Tier 0",Calculations!AJ22,Calculations!#REF!))</f>
        <v/>
      </c>
      <c r="L17" s="270" t="str">
        <f>IF(C17="","",IF(Calculations!$BP22="Tier 0",Calculations!AK22,Calculations!#REF!))</f>
        <v/>
      </c>
      <c r="M17" s="270" t="str">
        <f>IF(C17="","",IF(Calculations!$BP22="Tier 0",Calculations!AL22,Calculations!#REF!))</f>
        <v/>
      </c>
      <c r="N17" s="270" t="str">
        <f>IF(C17="","",IF(Calculations!$BP22="Tier 0",Calculations!AM22,Calculations!#REF!))</f>
        <v/>
      </c>
      <c r="O17" s="270" t="str">
        <f>Calculations!K22</f>
        <v/>
      </c>
      <c r="P17" s="270" t="str">
        <f>Calculations!L22</f>
        <v/>
      </c>
      <c r="Q17" s="270" t="str">
        <f>Calculations!M22</f>
        <v/>
      </c>
      <c r="R17" s="270" t="str">
        <f>Calculations!N22</f>
        <v/>
      </c>
      <c r="S17" t="str">
        <f>IF(C17="","",INDEX(References!$E$118:$E$134,MATCH('HVAC Worksheet'!$B32,References!$D$118:$D$134,0)))</f>
        <v/>
      </c>
      <c r="T17" t="str">
        <f>IF(C17="","",INDEX(References!$F$118:$F$129,MATCH('HVAC Worksheet'!$B32,References!$D$118:$D$129,0)))</f>
        <v/>
      </c>
      <c r="U17" t="str">
        <f>IF(C17="","",INDEX(References!$G$118:$G$129,MATCH('HVAC Worksheet'!$B32,References!$D$118:$D$129,0)))</f>
        <v/>
      </c>
      <c r="V17" s="295" t="str">
        <f>IF(C17="","",Calculations!AB22)</f>
        <v/>
      </c>
      <c r="W17" s="295" t="str">
        <f>IF(C17="","",Calculations!AA22)</f>
        <v/>
      </c>
      <c r="X17" s="350" t="str">
        <f>IF(C17="","",Calculations!#REF!)</f>
        <v/>
      </c>
      <c r="Y17" s="351" t="str">
        <f>IF(C17="","",Calculations!#REF!)</f>
        <v/>
      </c>
      <c r="Z17" s="352" t="str">
        <f t="shared" si="2"/>
        <v/>
      </c>
      <c r="AA17" s="351" t="str">
        <f t="shared" si="3"/>
        <v/>
      </c>
      <c r="AB17" s="353" t="str">
        <f t="shared" si="4"/>
        <v/>
      </c>
      <c r="AC17" s="353" t="str">
        <f>IF('HVAC Worksheet'!B32="","",Calculations!#REF!)</f>
        <v/>
      </c>
      <c r="AD17" s="351" t="str">
        <f>IF('HVAC Worksheet'!B32="","",Calculations!#REF!)</f>
        <v/>
      </c>
      <c r="AE17" s="348" t="str">
        <f>IF(AC17="","",AC17*References!$B$21)</f>
        <v/>
      </c>
      <c r="AF17" s="348" t="str">
        <f>IF(AC17="","",AC17*References!$B$29)</f>
        <v/>
      </c>
      <c r="AG17" s="294">
        <f>'HVAC Worksheet'!O32</f>
        <v>0</v>
      </c>
      <c r="AH17" s="294">
        <f>'HVAC Worksheet'!P32</f>
        <v>0</v>
      </c>
      <c r="AI17" s="294" t="str">
        <f>IF('HVAC Worksheet'!Q32="","",'HVAC Worksheet'!Q32)</f>
        <v/>
      </c>
      <c r="AJ17" t="str">
        <f>IF('HVAC Worksheet'!F32="","",'HVAC Worksheet'!F32)</f>
        <v/>
      </c>
      <c r="AK17" t="str">
        <f>IF('HVAC Worksheet'!G32="","",'HVAC Worksheet'!G32)</f>
        <v/>
      </c>
      <c r="AL17" t="str">
        <f>IF(C17="","",Calculations!I22)</f>
        <v/>
      </c>
      <c r="AM17" t="str">
        <f>IF(C17="","",'HVAC Worksheet'!AF32/'HVAC Worksheet'!I32)</f>
        <v/>
      </c>
      <c r="AN17" t="str">
        <f t="shared" si="0"/>
        <v/>
      </c>
    </row>
    <row r="18" spans="1:40" ht="14.5" x14ac:dyDescent="0.35">
      <c r="A18">
        <f t="shared" si="1"/>
        <v>17</v>
      </c>
      <c r="C18" t="str">
        <f>IF(Calculations!Y23="Fail","",INDEX('HVAC Types'!$B$2:$B$90,MATCH(Calculations!$BR23,'HVAC Types'!$A$2:$A$90,0)))</f>
        <v/>
      </c>
      <c r="D18" t="str">
        <f>IF(C18="","",INDEX('HVAC Types'!$C$2:$C$90,MATCH(Calculations!$BR23,'HVAC Types'!$A$2:$A$90,0)))</f>
        <v/>
      </c>
      <c r="E18" t="str">
        <f>IF(C18="","",INDEX('HVAC Types'!$D$2:$D$90,MATCH(Calculations!$BR23,'HVAC Types'!$A$2:$A$90,0)))</f>
        <v/>
      </c>
      <c r="F18" t="str">
        <f>IF(Calculations!J23="","",Calculations!J23)</f>
        <v/>
      </c>
      <c r="G18" t="str">
        <f>IF(OR('HVAC Worksheet'!$C$12="",'HVAC Worksheet'!B33=""),"",'HVAC Worksheet'!$C$12)</f>
        <v/>
      </c>
      <c r="J18" t="str">
        <f>IF(E18="","",Calculations!BR23)</f>
        <v/>
      </c>
      <c r="K18" s="270" t="str">
        <f>IF(C18="","",IF(Calculations!$BP23="Tier 0",Calculations!AJ23,Calculations!#REF!))</f>
        <v/>
      </c>
      <c r="L18" s="270" t="str">
        <f>IF(C18="","",IF(Calculations!$BP23="Tier 0",Calculations!AK23,Calculations!#REF!))</f>
        <v/>
      </c>
      <c r="M18" s="270" t="str">
        <f>IF(C18="","",IF(Calculations!$BP23="Tier 0",Calculations!AL23,Calculations!#REF!))</f>
        <v/>
      </c>
      <c r="N18" s="270" t="str">
        <f>IF(C18="","",IF(Calculations!$BP23="Tier 0",Calculations!AM23,Calculations!#REF!))</f>
        <v/>
      </c>
      <c r="O18" s="270" t="str">
        <f>Calculations!K23</f>
        <v/>
      </c>
      <c r="P18" s="270" t="str">
        <f>Calculations!L23</f>
        <v/>
      </c>
      <c r="Q18" s="270" t="str">
        <f>Calculations!M23</f>
        <v/>
      </c>
      <c r="R18" s="270" t="str">
        <f>Calculations!N23</f>
        <v/>
      </c>
      <c r="S18" t="str">
        <f>IF(C18="","",INDEX(References!$E$118:$E$134,MATCH('HVAC Worksheet'!$B33,References!$D$118:$D$134,0)))</f>
        <v/>
      </c>
      <c r="T18" t="str">
        <f>IF(C18="","",INDEX(References!$F$118:$F$129,MATCH('HVAC Worksheet'!$B33,References!$D$118:$D$129,0)))</f>
        <v/>
      </c>
      <c r="U18" t="str">
        <f>IF(C18="","",INDEX(References!$G$118:$G$129,MATCH('HVAC Worksheet'!$B33,References!$D$118:$D$129,0)))</f>
        <v/>
      </c>
      <c r="V18" s="295" t="str">
        <f>IF(C18="","",Calculations!AB23)</f>
        <v/>
      </c>
      <c r="W18" s="295" t="str">
        <f>IF(C18="","",Calculations!AA23)</f>
        <v/>
      </c>
      <c r="X18" s="350" t="str">
        <f>IF(C18="","",Calculations!#REF!)</f>
        <v/>
      </c>
      <c r="Y18" s="351" t="str">
        <f>IF(C18="","",Calculations!#REF!)</f>
        <v/>
      </c>
      <c r="Z18" s="352" t="str">
        <f t="shared" si="2"/>
        <v/>
      </c>
      <c r="AA18" s="351" t="str">
        <f t="shared" si="3"/>
        <v/>
      </c>
      <c r="AB18" s="353" t="str">
        <f t="shared" si="4"/>
        <v/>
      </c>
      <c r="AC18" s="353" t="str">
        <f>IF('HVAC Worksheet'!B33="","",Calculations!#REF!)</f>
        <v/>
      </c>
      <c r="AD18" s="351" t="str">
        <f>IF('HVAC Worksheet'!B33="","",Calculations!#REF!)</f>
        <v/>
      </c>
      <c r="AE18" s="348" t="str">
        <f>IF(AC18="","",AC18*References!$B$21)</f>
        <v/>
      </c>
      <c r="AF18" s="348" t="str">
        <f>IF(AC18="","",AC18*References!$B$29)</f>
        <v/>
      </c>
      <c r="AG18" s="294">
        <f>'HVAC Worksheet'!O33</f>
        <v>0</v>
      </c>
      <c r="AH18" s="294">
        <f>'HVAC Worksheet'!P33</f>
        <v>0</v>
      </c>
      <c r="AI18" s="294" t="str">
        <f>IF('HVAC Worksheet'!Q33="","",'HVAC Worksheet'!Q33)</f>
        <v/>
      </c>
      <c r="AJ18" t="str">
        <f>IF('HVAC Worksheet'!F33="","",'HVAC Worksheet'!F33)</f>
        <v/>
      </c>
      <c r="AK18" t="str">
        <f>IF('HVAC Worksheet'!G33="","",'HVAC Worksheet'!G33)</f>
        <v/>
      </c>
      <c r="AL18" t="str">
        <f>IF(C18="","",Calculations!I23)</f>
        <v/>
      </c>
      <c r="AM18" t="str">
        <f>IF(C18="","",'HVAC Worksheet'!AF33/'HVAC Worksheet'!I33)</f>
        <v/>
      </c>
      <c r="AN18" t="str">
        <f t="shared" si="0"/>
        <v/>
      </c>
    </row>
    <row r="19" spans="1:40" ht="14.5" x14ac:dyDescent="0.35">
      <c r="A19">
        <f t="shared" si="1"/>
        <v>18</v>
      </c>
      <c r="C19" t="str">
        <f>IF(Calculations!Y24="Fail","",INDEX('HVAC Types'!$B$2:$B$90,MATCH(Calculations!$BR24,'HVAC Types'!$A$2:$A$90,0)))</f>
        <v/>
      </c>
      <c r="D19" t="str">
        <f>IF(C19="","",INDEX('HVAC Types'!$C$2:$C$90,MATCH(Calculations!$BR24,'HVAC Types'!$A$2:$A$90,0)))</f>
        <v/>
      </c>
      <c r="E19" t="str">
        <f>IF(C19="","",INDEX('HVAC Types'!$D$2:$D$90,MATCH(Calculations!$BR24,'HVAC Types'!$A$2:$A$90,0)))</f>
        <v/>
      </c>
      <c r="F19" t="str">
        <f>IF(Calculations!J24="","",Calculations!J24)</f>
        <v/>
      </c>
      <c r="G19" t="str">
        <f>IF(OR('HVAC Worksheet'!$C$12="",'HVAC Worksheet'!B34=""),"",'HVAC Worksheet'!$C$12)</f>
        <v/>
      </c>
      <c r="J19" t="str">
        <f>IF(E19="","",Calculations!BR24)</f>
        <v/>
      </c>
      <c r="K19" s="270" t="str">
        <f>IF(C19="","",IF(Calculations!$BP24="Tier 0",Calculations!AJ24,Calculations!#REF!))</f>
        <v/>
      </c>
      <c r="L19" s="270" t="str">
        <f>IF(C19="","",IF(Calculations!$BP24="Tier 0",Calculations!AK24,Calculations!#REF!))</f>
        <v/>
      </c>
      <c r="M19" s="270" t="str">
        <f>IF(C19="","",IF(Calculations!$BP24="Tier 0",Calculations!AL24,Calculations!#REF!))</f>
        <v/>
      </c>
      <c r="N19" s="270" t="str">
        <f>IF(C19="","",IF(Calculations!$BP24="Tier 0",Calculations!AM24,Calculations!#REF!))</f>
        <v/>
      </c>
      <c r="O19" s="270" t="str">
        <f>Calculations!K24</f>
        <v/>
      </c>
      <c r="P19" s="270" t="str">
        <f>Calculations!L24</f>
        <v/>
      </c>
      <c r="Q19" s="270" t="str">
        <f>Calculations!M24</f>
        <v/>
      </c>
      <c r="R19" s="270" t="str">
        <f>Calculations!N24</f>
        <v/>
      </c>
      <c r="S19" t="str">
        <f>IF(C19="","",INDEX(References!$E$118:$E$134,MATCH('HVAC Worksheet'!$B34,References!$D$118:$D$134,0)))</f>
        <v/>
      </c>
      <c r="T19" t="str">
        <f>IF(C19="","",INDEX(References!$F$118:$F$129,MATCH('HVAC Worksheet'!$B34,References!$D$118:$D$129,0)))</f>
        <v/>
      </c>
      <c r="U19" t="str">
        <f>IF(C19="","",INDEX(References!$G$118:$G$129,MATCH('HVAC Worksheet'!$B34,References!$D$118:$D$129,0)))</f>
        <v/>
      </c>
      <c r="V19" s="295" t="str">
        <f>IF(C19="","",Calculations!AB24)</f>
        <v/>
      </c>
      <c r="W19" s="295" t="str">
        <f>IF(C19="","",Calculations!AA24)</f>
        <v/>
      </c>
      <c r="X19" s="350" t="str">
        <f>IF(C19="","",Calculations!#REF!)</f>
        <v/>
      </c>
      <c r="Y19" s="351" t="str">
        <f>IF(C19="","",Calculations!#REF!)</f>
        <v/>
      </c>
      <c r="Z19" s="352" t="str">
        <f t="shared" si="2"/>
        <v/>
      </c>
      <c r="AA19" s="351" t="str">
        <f t="shared" si="3"/>
        <v/>
      </c>
      <c r="AB19" s="353" t="str">
        <f t="shared" si="4"/>
        <v/>
      </c>
      <c r="AC19" s="353" t="str">
        <f>IF('HVAC Worksheet'!B34="","",Calculations!#REF!)</f>
        <v/>
      </c>
      <c r="AD19" s="351" t="str">
        <f>IF('HVAC Worksheet'!B34="","",Calculations!#REF!)</f>
        <v/>
      </c>
      <c r="AE19" s="348" t="str">
        <f>IF(AC19="","",AC19*References!$B$21)</f>
        <v/>
      </c>
      <c r="AF19" s="348" t="str">
        <f>IF(AC19="","",AC19*References!$B$29)</f>
        <v/>
      </c>
      <c r="AG19" s="294">
        <f>'HVAC Worksheet'!O34</f>
        <v>0</v>
      </c>
      <c r="AH19" s="294">
        <f>'HVAC Worksheet'!P34</f>
        <v>0</v>
      </c>
      <c r="AI19" s="294" t="str">
        <f>IF('HVAC Worksheet'!Q34="","",'HVAC Worksheet'!Q34)</f>
        <v/>
      </c>
      <c r="AJ19" t="str">
        <f>IF('HVAC Worksheet'!F34="","",'HVAC Worksheet'!F34)</f>
        <v/>
      </c>
      <c r="AK19" t="str">
        <f>IF('HVAC Worksheet'!G34="","",'HVAC Worksheet'!G34)</f>
        <v/>
      </c>
      <c r="AL19" t="str">
        <f>IF(C19="","",Calculations!I24)</f>
        <v/>
      </c>
      <c r="AM19" t="str">
        <f>IF(C19="","",'HVAC Worksheet'!AF34/'HVAC Worksheet'!I34)</f>
        <v/>
      </c>
      <c r="AN19" t="str">
        <f t="shared" si="0"/>
        <v/>
      </c>
    </row>
    <row r="20" spans="1:40" ht="14.5" x14ac:dyDescent="0.35">
      <c r="A20">
        <f t="shared" si="1"/>
        <v>19</v>
      </c>
      <c r="C20" t="str">
        <f>IF(Calculations!Y25="Fail","",INDEX('HVAC Types'!$B$2:$B$90,MATCH(Calculations!$BR25,'HVAC Types'!$A$2:$A$90,0)))</f>
        <v/>
      </c>
      <c r="D20" t="str">
        <f>IF(C20="","",INDEX('HVAC Types'!$C$2:$C$90,MATCH(Calculations!$BR25,'HVAC Types'!$A$2:$A$90,0)))</f>
        <v/>
      </c>
      <c r="E20" t="str">
        <f>IF(C20="","",INDEX('HVAC Types'!$D$2:$D$90,MATCH(Calculations!$BR25,'HVAC Types'!$A$2:$A$90,0)))</f>
        <v/>
      </c>
      <c r="F20" t="str">
        <f>IF(Calculations!J25="","",Calculations!J25)</f>
        <v/>
      </c>
      <c r="G20" t="str">
        <f>IF(OR('HVAC Worksheet'!$C$12="",'HVAC Worksheet'!B35=""),"",'HVAC Worksheet'!$C$12)</f>
        <v/>
      </c>
      <c r="J20" t="str">
        <f>IF(E20="","",Calculations!BR25)</f>
        <v/>
      </c>
      <c r="K20" s="270" t="str">
        <f>IF(C20="","",IF(Calculations!$BP25="Tier 0",Calculations!AJ25,Calculations!#REF!))</f>
        <v/>
      </c>
      <c r="L20" s="270" t="str">
        <f>IF(C20="","",IF(Calculations!$BP25="Tier 0",Calculations!AK25,Calculations!#REF!))</f>
        <v/>
      </c>
      <c r="M20" s="270" t="str">
        <f>IF(C20="","",IF(Calculations!$BP25="Tier 0",Calculations!AL25,Calculations!#REF!))</f>
        <v/>
      </c>
      <c r="N20" s="270" t="str">
        <f>IF(C20="","",IF(Calculations!$BP25="Tier 0",Calculations!AM25,Calculations!#REF!))</f>
        <v/>
      </c>
      <c r="O20" s="270" t="str">
        <f>Calculations!K25</f>
        <v/>
      </c>
      <c r="P20" s="270" t="str">
        <f>Calculations!L25</f>
        <v/>
      </c>
      <c r="Q20" s="270" t="str">
        <f>Calculations!M25</f>
        <v/>
      </c>
      <c r="R20" s="270" t="str">
        <f>Calculations!N25</f>
        <v/>
      </c>
      <c r="S20" t="str">
        <f>IF(C20="","",INDEX(References!$E$118:$E$134,MATCH('HVAC Worksheet'!$B35,References!$D$118:$D$134,0)))</f>
        <v/>
      </c>
      <c r="T20" t="str">
        <f>IF(C20="","",INDEX(References!$F$118:$F$129,MATCH('HVAC Worksheet'!$B35,References!$D$118:$D$129,0)))</f>
        <v/>
      </c>
      <c r="U20" t="str">
        <f>IF(C20="","",INDEX(References!$G$118:$G$129,MATCH('HVAC Worksheet'!$B35,References!$D$118:$D$129,0)))</f>
        <v/>
      </c>
      <c r="V20" s="295" t="str">
        <f>IF(C20="","",Calculations!AB25)</f>
        <v/>
      </c>
      <c r="W20" s="295" t="str">
        <f>IF(C20="","",Calculations!AA25)</f>
        <v/>
      </c>
      <c r="X20" s="350" t="str">
        <f>IF(C20="","",Calculations!#REF!)</f>
        <v/>
      </c>
      <c r="Y20" s="351" t="str">
        <f>IF(C20="","",Calculations!#REF!)</f>
        <v/>
      </c>
      <c r="Z20" s="352" t="str">
        <f t="shared" si="2"/>
        <v/>
      </c>
      <c r="AA20" s="351" t="str">
        <f t="shared" si="3"/>
        <v/>
      </c>
      <c r="AB20" s="353" t="str">
        <f t="shared" si="4"/>
        <v/>
      </c>
      <c r="AC20" s="353" t="str">
        <f>IF('HVAC Worksheet'!B35="","",Calculations!#REF!)</f>
        <v/>
      </c>
      <c r="AD20" s="351" t="str">
        <f>IF('HVAC Worksheet'!B35="","",Calculations!#REF!)</f>
        <v/>
      </c>
      <c r="AE20" s="348" t="str">
        <f>IF(AC20="","",AC20*References!$B$21)</f>
        <v/>
      </c>
      <c r="AF20" s="348" t="str">
        <f>IF(AC20="","",AC20*References!$B$29)</f>
        <v/>
      </c>
      <c r="AG20" s="294">
        <f>'HVAC Worksheet'!O35</f>
        <v>0</v>
      </c>
      <c r="AH20" s="294">
        <f>'HVAC Worksheet'!P35</f>
        <v>0</v>
      </c>
      <c r="AI20" s="294" t="str">
        <f>IF('HVAC Worksheet'!Q35="","",'HVAC Worksheet'!Q35)</f>
        <v/>
      </c>
      <c r="AJ20" t="str">
        <f>IF('HVAC Worksheet'!F35="","",'HVAC Worksheet'!F35)</f>
        <v/>
      </c>
      <c r="AK20" t="str">
        <f>IF('HVAC Worksheet'!G35="","",'HVAC Worksheet'!G35)</f>
        <v/>
      </c>
      <c r="AL20" t="str">
        <f>IF(C20="","",Calculations!I25)</f>
        <v/>
      </c>
      <c r="AM20" t="str">
        <f>IF(C20="","",'HVAC Worksheet'!AF35/'HVAC Worksheet'!I35)</f>
        <v/>
      </c>
      <c r="AN20" t="str">
        <f t="shared" si="0"/>
        <v/>
      </c>
    </row>
    <row r="21" spans="1:40" ht="14.5" x14ac:dyDescent="0.35">
      <c r="A21">
        <f t="shared" si="1"/>
        <v>20</v>
      </c>
      <c r="C21" t="str">
        <f>IF(Calculations!Y26="Fail","",INDEX('HVAC Types'!$B$2:$B$90,MATCH(Calculations!$BR26,'HVAC Types'!$A$2:$A$90,0)))</f>
        <v/>
      </c>
      <c r="D21" t="str">
        <f>IF(C21="","",INDEX('HVAC Types'!$C$2:$C$90,MATCH(Calculations!$BR26,'HVAC Types'!$A$2:$A$90,0)))</f>
        <v/>
      </c>
      <c r="E21" t="str">
        <f>IF(C21="","",INDEX('HVAC Types'!$D$2:$D$90,MATCH(Calculations!$BR26,'HVAC Types'!$A$2:$A$90,0)))</f>
        <v/>
      </c>
      <c r="F21" t="str">
        <f>IF(Calculations!J26="","",Calculations!J26)</f>
        <v/>
      </c>
      <c r="G21" t="str">
        <f>IF(OR('HVAC Worksheet'!$C$12="",'HVAC Worksheet'!B36=""),"",'HVAC Worksheet'!$C$12)</f>
        <v/>
      </c>
      <c r="J21" t="str">
        <f>IF(E21="","",Calculations!BR26)</f>
        <v/>
      </c>
      <c r="K21" s="270" t="str">
        <f>IF(C21="","",IF(Calculations!$BP26="Tier 0",Calculations!AJ26,Calculations!#REF!))</f>
        <v/>
      </c>
      <c r="L21" s="270" t="str">
        <f>IF(C21="","",IF(Calculations!$BP26="Tier 0",Calculations!AK26,Calculations!#REF!))</f>
        <v/>
      </c>
      <c r="M21" s="270" t="str">
        <f>IF(C21="","",IF(Calculations!$BP26="Tier 0",Calculations!AL26,Calculations!#REF!))</f>
        <v/>
      </c>
      <c r="N21" s="270" t="str">
        <f>IF(C21="","",IF(Calculations!$BP26="Tier 0",Calculations!AM26,Calculations!#REF!))</f>
        <v/>
      </c>
      <c r="O21" s="270" t="str">
        <f>Calculations!K26</f>
        <v/>
      </c>
      <c r="P21" s="270" t="str">
        <f>Calculations!L26</f>
        <v/>
      </c>
      <c r="Q21" s="270" t="str">
        <f>Calculations!M26</f>
        <v/>
      </c>
      <c r="R21" s="270" t="str">
        <f>Calculations!N26</f>
        <v/>
      </c>
      <c r="S21" t="str">
        <f>IF(C21="","",INDEX(References!$E$118:$E$134,MATCH('HVAC Worksheet'!$B36,References!$D$118:$D$134,0)))</f>
        <v/>
      </c>
      <c r="T21" t="str">
        <f>IF(C21="","",INDEX(References!$F$118:$F$129,MATCH('HVAC Worksheet'!$B36,References!$D$118:$D$129,0)))</f>
        <v/>
      </c>
      <c r="U21" t="str">
        <f>IF(C21="","",INDEX(References!$G$118:$G$129,MATCH('HVAC Worksheet'!$B36,References!$D$118:$D$129,0)))</f>
        <v/>
      </c>
      <c r="V21" s="295" t="str">
        <f>IF(C21="","",Calculations!AB26)</f>
        <v/>
      </c>
      <c r="W21" s="295" t="str">
        <f>IF(C21="","",Calculations!AA26)</f>
        <v/>
      </c>
      <c r="X21" s="350" t="str">
        <f>IF(C21="","",Calculations!#REF!)</f>
        <v/>
      </c>
      <c r="Y21" s="351" t="str">
        <f>IF(C21="","",Calculations!#REF!)</f>
        <v/>
      </c>
      <c r="Z21" s="352" t="str">
        <f t="shared" si="2"/>
        <v/>
      </c>
      <c r="AA21" s="351" t="str">
        <f t="shared" si="3"/>
        <v/>
      </c>
      <c r="AB21" s="353" t="str">
        <f t="shared" si="4"/>
        <v/>
      </c>
      <c r="AC21" s="353" t="str">
        <f>IF('HVAC Worksheet'!B36="","",Calculations!#REF!)</f>
        <v/>
      </c>
      <c r="AD21" s="351" t="str">
        <f>IF('HVAC Worksheet'!B36="","",Calculations!#REF!)</f>
        <v/>
      </c>
      <c r="AE21" s="348" t="str">
        <f>IF(AC21="","",AC21*References!$B$21)</f>
        <v/>
      </c>
      <c r="AF21" s="348" t="str">
        <f>IF(AC21="","",AC21*References!$B$29)</f>
        <v/>
      </c>
      <c r="AG21" s="294">
        <f>'HVAC Worksheet'!O36</f>
        <v>0</v>
      </c>
      <c r="AH21" s="294">
        <f>'HVAC Worksheet'!P36</f>
        <v>0</v>
      </c>
      <c r="AI21" s="294" t="str">
        <f>IF('HVAC Worksheet'!Q36="","",'HVAC Worksheet'!Q36)</f>
        <v/>
      </c>
      <c r="AJ21" t="str">
        <f>IF('HVAC Worksheet'!F36="","",'HVAC Worksheet'!F36)</f>
        <v/>
      </c>
      <c r="AK21" t="str">
        <f>IF('HVAC Worksheet'!G36="","",'HVAC Worksheet'!G36)</f>
        <v/>
      </c>
      <c r="AL21" t="str">
        <f>IF(C21="","",Calculations!I26)</f>
        <v/>
      </c>
      <c r="AM21" t="str">
        <f>IF(C21="","",'HVAC Worksheet'!AF36/'HVAC Worksheet'!I36)</f>
        <v/>
      </c>
      <c r="AN21" t="str">
        <f t="shared" si="0"/>
        <v/>
      </c>
    </row>
    <row r="22" spans="1:40" ht="14.5" x14ac:dyDescent="0.35">
      <c r="A22">
        <f t="shared" si="1"/>
        <v>21</v>
      </c>
      <c r="C22" t="str">
        <f>IF(Calculations!Y27="Fail","",INDEX('HVAC Types'!$B$2:$B$90,MATCH(Calculations!$BR27,'HVAC Types'!$A$2:$A$90,0)))</f>
        <v/>
      </c>
      <c r="D22" t="str">
        <f>IF(C22="","",INDEX('HVAC Types'!$C$2:$C$90,MATCH(Calculations!$BR27,'HVAC Types'!$A$2:$A$90,0)))</f>
        <v/>
      </c>
      <c r="E22" t="str">
        <f>IF(C22="","",INDEX('HVAC Types'!$D$2:$D$90,MATCH(Calculations!$BR27,'HVAC Types'!$A$2:$A$90,0)))</f>
        <v/>
      </c>
      <c r="F22" t="str">
        <f>IF(Calculations!J27="","",Calculations!J27)</f>
        <v/>
      </c>
      <c r="G22" t="str">
        <f>IF(OR('HVAC Worksheet'!$C$12="",'HVAC Worksheet'!B37=""),"",'HVAC Worksheet'!$C$12)</f>
        <v/>
      </c>
      <c r="J22" t="str">
        <f>IF(E22="","",Calculations!BR27)</f>
        <v/>
      </c>
      <c r="K22" s="270" t="str">
        <f>IF(C22="","",IF(Calculations!$BP27="Tier 0",Calculations!AJ27,Calculations!#REF!))</f>
        <v/>
      </c>
      <c r="L22" s="270" t="str">
        <f>IF(C22="","",IF(Calculations!$BP27="Tier 0",Calculations!AK27,Calculations!#REF!))</f>
        <v/>
      </c>
      <c r="M22" s="270" t="str">
        <f>IF(C22="","",IF(Calculations!$BP27="Tier 0",Calculations!AL27,Calculations!#REF!))</f>
        <v/>
      </c>
      <c r="N22" s="270" t="str">
        <f>IF(C22="","",IF(Calculations!$BP27="Tier 0",Calculations!AM27,Calculations!#REF!))</f>
        <v/>
      </c>
      <c r="O22" s="270" t="str">
        <f>Calculations!K27</f>
        <v/>
      </c>
      <c r="P22" s="270" t="str">
        <f>Calculations!L27</f>
        <v/>
      </c>
      <c r="Q22" s="270" t="str">
        <f>Calculations!M27</f>
        <v/>
      </c>
      <c r="R22" s="270" t="str">
        <f>Calculations!N27</f>
        <v/>
      </c>
      <c r="S22" t="str">
        <f>IF(C22="","",INDEX(References!$E$118:$E$134,MATCH('HVAC Worksheet'!$B37,References!$D$118:$D$134,0)))</f>
        <v/>
      </c>
      <c r="T22" t="str">
        <f>IF(C22="","",INDEX(References!$F$118:$F$129,MATCH('HVAC Worksheet'!$B37,References!$D$118:$D$129,0)))</f>
        <v/>
      </c>
      <c r="U22" t="str">
        <f>IF(C22="","",INDEX(References!$G$118:$G$129,MATCH('HVAC Worksheet'!$B37,References!$D$118:$D$129,0)))</f>
        <v/>
      </c>
      <c r="V22" s="295" t="str">
        <f>IF(C22="","",Calculations!AB27)</f>
        <v/>
      </c>
      <c r="W22" s="295" t="str">
        <f>IF(C22="","",Calculations!AA27)</f>
        <v/>
      </c>
      <c r="X22" s="350" t="str">
        <f>IF(C22="","",Calculations!#REF!)</f>
        <v/>
      </c>
      <c r="Y22" s="351" t="str">
        <f>IF(C22="","",Calculations!#REF!)</f>
        <v/>
      </c>
      <c r="Z22" s="352" t="str">
        <f t="shared" si="2"/>
        <v/>
      </c>
      <c r="AA22" s="351" t="str">
        <f t="shared" si="3"/>
        <v/>
      </c>
      <c r="AB22" s="353" t="str">
        <f t="shared" si="4"/>
        <v/>
      </c>
      <c r="AC22" s="353" t="str">
        <f>IF('HVAC Worksheet'!B37="","",Calculations!#REF!)</f>
        <v/>
      </c>
      <c r="AD22" s="351" t="str">
        <f>IF('HVAC Worksheet'!B37="","",Calculations!#REF!)</f>
        <v/>
      </c>
      <c r="AE22" s="348" t="str">
        <f>IF(AC22="","",AC22*References!$B$21)</f>
        <v/>
      </c>
      <c r="AF22" s="348" t="str">
        <f>IF(AC22="","",AC22*References!$B$29)</f>
        <v/>
      </c>
      <c r="AG22" s="294">
        <f>'HVAC Worksheet'!O37</f>
        <v>0</v>
      </c>
      <c r="AH22" s="294">
        <f>'HVAC Worksheet'!P37</f>
        <v>0</v>
      </c>
      <c r="AI22" s="294" t="str">
        <f>IF('HVAC Worksheet'!Q37="","",'HVAC Worksheet'!Q37)</f>
        <v/>
      </c>
      <c r="AJ22" t="str">
        <f>IF('HVAC Worksheet'!F37="","",'HVAC Worksheet'!F37)</f>
        <v/>
      </c>
      <c r="AK22" t="str">
        <f>IF('HVAC Worksheet'!G37="","",'HVAC Worksheet'!G37)</f>
        <v/>
      </c>
      <c r="AL22" t="str">
        <f>IF(C22="","",Calculations!I27)</f>
        <v/>
      </c>
      <c r="AM22" t="str">
        <f>IF(C22="","",'HVAC Worksheet'!AF37/'HVAC Worksheet'!I37)</f>
        <v/>
      </c>
      <c r="AN22" t="str">
        <f t="shared" si="0"/>
        <v/>
      </c>
    </row>
    <row r="23" spans="1:40" ht="14.5" x14ac:dyDescent="0.35">
      <c r="A23">
        <f t="shared" si="1"/>
        <v>22</v>
      </c>
      <c r="C23" t="str">
        <f>IF(Calculations!Y28="Fail","",INDEX('HVAC Types'!$B$2:$B$90,MATCH(Calculations!$BR28,'HVAC Types'!$A$2:$A$90,0)))</f>
        <v/>
      </c>
      <c r="D23" t="str">
        <f>IF(C23="","",INDEX('HVAC Types'!$C$2:$C$90,MATCH(Calculations!$BR28,'HVAC Types'!$A$2:$A$90,0)))</f>
        <v/>
      </c>
      <c r="E23" t="str">
        <f>IF(C23="","",INDEX('HVAC Types'!$D$2:$D$90,MATCH(Calculations!$BR28,'HVAC Types'!$A$2:$A$90,0)))</f>
        <v/>
      </c>
      <c r="F23" t="str">
        <f>IF(Calculations!J28="","",Calculations!J28)</f>
        <v/>
      </c>
      <c r="G23" t="str">
        <f>IF(OR('HVAC Worksheet'!$C$12="",'HVAC Worksheet'!B38=""),"",'HVAC Worksheet'!$C$12)</f>
        <v/>
      </c>
      <c r="J23" t="str">
        <f>IF(E23="","",Calculations!BR28)</f>
        <v/>
      </c>
      <c r="K23" s="270" t="str">
        <f>IF(C23="","",IF(Calculations!$BP28="Tier 0",Calculations!AJ28,Calculations!#REF!))</f>
        <v/>
      </c>
      <c r="L23" s="270" t="str">
        <f>IF(C23="","",IF(Calculations!$BP28="Tier 0",Calculations!AK28,Calculations!#REF!))</f>
        <v/>
      </c>
      <c r="M23" s="270" t="str">
        <f>IF(C23="","",IF(Calculations!$BP28="Tier 0",Calculations!AL28,Calculations!#REF!))</f>
        <v/>
      </c>
      <c r="N23" s="270" t="str">
        <f>IF(C23="","",IF(Calculations!$BP28="Tier 0",Calculations!AM28,Calculations!#REF!))</f>
        <v/>
      </c>
      <c r="O23" s="270" t="str">
        <f>Calculations!K28</f>
        <v/>
      </c>
      <c r="P23" s="270" t="str">
        <f>Calculations!L28</f>
        <v/>
      </c>
      <c r="Q23" s="270" t="str">
        <f>Calculations!M28</f>
        <v/>
      </c>
      <c r="R23" s="270" t="str">
        <f>Calculations!N28</f>
        <v/>
      </c>
      <c r="S23" t="str">
        <f>IF(C23="","",INDEX(References!$E$118:$E$134,MATCH('HVAC Worksheet'!$B38,References!$D$118:$D$134,0)))</f>
        <v/>
      </c>
      <c r="T23" t="str">
        <f>IF(C23="","",INDEX(References!$F$118:$F$129,MATCH('HVAC Worksheet'!$B38,References!$D$118:$D$129,0)))</f>
        <v/>
      </c>
      <c r="U23" t="str">
        <f>IF(C23="","",INDEX(References!$G$118:$G$129,MATCH('HVAC Worksheet'!$B38,References!$D$118:$D$129,0)))</f>
        <v/>
      </c>
      <c r="V23" s="295" t="str">
        <f>IF(C23="","",Calculations!AB28)</f>
        <v/>
      </c>
      <c r="W23" s="295" t="str">
        <f>IF(C23="","",Calculations!AA28)</f>
        <v/>
      </c>
      <c r="X23" s="350" t="str">
        <f>IF(C23="","",Calculations!#REF!)</f>
        <v/>
      </c>
      <c r="Y23" s="351" t="str">
        <f>IF(C23="","",Calculations!#REF!)</f>
        <v/>
      </c>
      <c r="Z23" s="352" t="str">
        <f t="shared" si="2"/>
        <v/>
      </c>
      <c r="AA23" s="351" t="str">
        <f t="shared" si="3"/>
        <v/>
      </c>
      <c r="AB23" s="353" t="str">
        <f t="shared" si="4"/>
        <v/>
      </c>
      <c r="AC23" s="353" t="str">
        <f>IF('HVAC Worksheet'!B38="","",Calculations!#REF!)</f>
        <v/>
      </c>
      <c r="AD23" s="351" t="str">
        <f>IF('HVAC Worksheet'!B38="","",Calculations!#REF!)</f>
        <v/>
      </c>
      <c r="AE23" s="348" t="str">
        <f>IF(AC23="","",AC23*References!$B$21)</f>
        <v/>
      </c>
      <c r="AF23" s="348" t="str">
        <f>IF(AC23="","",AC23*References!$B$29)</f>
        <v/>
      </c>
      <c r="AG23" s="294">
        <f>'HVAC Worksheet'!O38</f>
        <v>0</v>
      </c>
      <c r="AH23" s="294">
        <f>'HVAC Worksheet'!P38</f>
        <v>0</v>
      </c>
      <c r="AI23" s="294" t="str">
        <f>IF('HVAC Worksheet'!Q38="","",'HVAC Worksheet'!Q38)</f>
        <v/>
      </c>
      <c r="AJ23" t="str">
        <f>IF('HVAC Worksheet'!F38="","",'HVAC Worksheet'!F38)</f>
        <v/>
      </c>
      <c r="AK23" t="str">
        <f>IF('HVAC Worksheet'!G38="","",'HVAC Worksheet'!G38)</f>
        <v/>
      </c>
      <c r="AL23" t="str">
        <f>IF(C23="","",Calculations!I28)</f>
        <v/>
      </c>
      <c r="AM23" t="str">
        <f>IF(C23="","",'HVAC Worksheet'!AF38/'HVAC Worksheet'!I38)</f>
        <v/>
      </c>
      <c r="AN23" t="str">
        <f t="shared" si="0"/>
        <v/>
      </c>
    </row>
    <row r="24" spans="1:40" ht="14.5" x14ac:dyDescent="0.35">
      <c r="A24">
        <f t="shared" si="1"/>
        <v>23</v>
      </c>
      <c r="C24" t="str">
        <f>IF(Calculations!Y29="Fail","",INDEX('HVAC Types'!$B$2:$B$90,MATCH(Calculations!$BR29,'HVAC Types'!$A$2:$A$90,0)))</f>
        <v/>
      </c>
      <c r="D24" t="str">
        <f>IF(C24="","",INDEX('HVAC Types'!$C$2:$C$90,MATCH(Calculations!$BR29,'HVAC Types'!$A$2:$A$90,0)))</f>
        <v/>
      </c>
      <c r="E24" t="str">
        <f>IF(C24="","",INDEX('HVAC Types'!$D$2:$D$90,MATCH(Calculations!$BR29,'HVAC Types'!$A$2:$A$90,0)))</f>
        <v/>
      </c>
      <c r="F24" t="str">
        <f>IF(Calculations!J29="","",Calculations!J29)</f>
        <v/>
      </c>
      <c r="G24" t="str">
        <f>IF(OR('HVAC Worksheet'!$C$12="",'HVAC Worksheet'!B39=""),"",'HVAC Worksheet'!$C$12)</f>
        <v/>
      </c>
      <c r="J24" t="str">
        <f>IF(E24="","",Calculations!BR29)</f>
        <v/>
      </c>
      <c r="K24" s="270" t="str">
        <f>IF(C24="","",IF(Calculations!$BP29="Tier 0",Calculations!AJ29,Calculations!#REF!))</f>
        <v/>
      </c>
      <c r="L24" s="270" t="str">
        <f>IF(C24="","",IF(Calculations!$BP29="Tier 0",Calculations!AK29,Calculations!#REF!))</f>
        <v/>
      </c>
      <c r="M24" s="270" t="str">
        <f>IF(C24="","",IF(Calculations!$BP29="Tier 0",Calculations!AL29,Calculations!#REF!))</f>
        <v/>
      </c>
      <c r="N24" s="270" t="str">
        <f>IF(C24="","",IF(Calculations!$BP29="Tier 0",Calculations!AM29,Calculations!#REF!))</f>
        <v/>
      </c>
      <c r="O24" s="270" t="str">
        <f>Calculations!K29</f>
        <v/>
      </c>
      <c r="P24" s="270" t="str">
        <f>Calculations!L29</f>
        <v/>
      </c>
      <c r="Q24" s="270" t="str">
        <f>Calculations!M29</f>
        <v/>
      </c>
      <c r="R24" s="270" t="str">
        <f>Calculations!N29</f>
        <v/>
      </c>
      <c r="S24" t="str">
        <f>IF(C24="","",INDEX(References!$E$118:$E$134,MATCH('HVAC Worksheet'!$B39,References!$D$118:$D$134,0)))</f>
        <v/>
      </c>
      <c r="T24" t="str">
        <f>IF(C24="","",INDEX(References!$F$118:$F$129,MATCH('HVAC Worksheet'!$B39,References!$D$118:$D$129,0)))</f>
        <v/>
      </c>
      <c r="U24" t="str">
        <f>IF(C24="","",INDEX(References!$G$118:$G$129,MATCH('HVAC Worksheet'!$B39,References!$D$118:$D$129,0)))</f>
        <v/>
      </c>
      <c r="V24" s="295" t="str">
        <f>IF(C24="","",Calculations!AB29)</f>
        <v/>
      </c>
      <c r="W24" s="295" t="str">
        <f>IF(C24="","",Calculations!AA29)</f>
        <v/>
      </c>
      <c r="X24" s="350" t="str">
        <f>IF(C24="","",Calculations!#REF!)</f>
        <v/>
      </c>
      <c r="Y24" s="351" t="str">
        <f>IF(C24="","",Calculations!#REF!)</f>
        <v/>
      </c>
      <c r="Z24" s="352" t="str">
        <f t="shared" si="2"/>
        <v/>
      </c>
      <c r="AA24" s="351" t="str">
        <f t="shared" si="3"/>
        <v/>
      </c>
      <c r="AB24" s="353" t="str">
        <f t="shared" si="4"/>
        <v/>
      </c>
      <c r="AC24" s="353" t="str">
        <f>IF('HVAC Worksheet'!B39="","",Calculations!#REF!)</f>
        <v/>
      </c>
      <c r="AD24" s="351" t="str">
        <f>IF('HVAC Worksheet'!B39="","",Calculations!#REF!)</f>
        <v/>
      </c>
      <c r="AE24" s="348" t="str">
        <f>IF(AC24="","",AC24*References!$B$21)</f>
        <v/>
      </c>
      <c r="AF24" s="348" t="str">
        <f>IF(AC24="","",AC24*References!$B$29)</f>
        <v/>
      </c>
      <c r="AG24" s="294">
        <f>'HVAC Worksheet'!O39</f>
        <v>0</v>
      </c>
      <c r="AH24" s="294">
        <f>'HVAC Worksheet'!P39</f>
        <v>0</v>
      </c>
      <c r="AI24" s="294" t="str">
        <f>IF('HVAC Worksheet'!Q39="","",'HVAC Worksheet'!Q39)</f>
        <v/>
      </c>
      <c r="AJ24" t="str">
        <f>IF('HVAC Worksheet'!F39="","",'HVAC Worksheet'!F39)</f>
        <v/>
      </c>
      <c r="AK24" t="str">
        <f>IF('HVAC Worksheet'!G39="","",'HVAC Worksheet'!G39)</f>
        <v/>
      </c>
      <c r="AL24" t="str">
        <f>IF(C24="","",Calculations!I29)</f>
        <v/>
      </c>
      <c r="AM24" t="str">
        <f>IF(C24="","",'HVAC Worksheet'!AF39/'HVAC Worksheet'!I39)</f>
        <v/>
      </c>
      <c r="AN24" t="str">
        <f t="shared" si="0"/>
        <v/>
      </c>
    </row>
    <row r="25" spans="1:40" ht="14.5" x14ac:dyDescent="0.35">
      <c r="A25">
        <f t="shared" si="1"/>
        <v>24</v>
      </c>
      <c r="C25" t="str">
        <f>IF(Calculations!Y30="Fail","",INDEX('HVAC Types'!$B$2:$B$90,MATCH(Calculations!$BR30,'HVAC Types'!$A$2:$A$90,0)))</f>
        <v/>
      </c>
      <c r="D25" t="str">
        <f>IF(C25="","",INDEX('HVAC Types'!$C$2:$C$90,MATCH(Calculations!$BR30,'HVAC Types'!$A$2:$A$90,0)))</f>
        <v/>
      </c>
      <c r="E25" t="str">
        <f>IF(C25="","",INDEX('HVAC Types'!$D$2:$D$90,MATCH(Calculations!$BR30,'HVAC Types'!$A$2:$A$90,0)))</f>
        <v/>
      </c>
      <c r="F25" t="str">
        <f>IF(Calculations!J30="","",Calculations!J30)</f>
        <v/>
      </c>
      <c r="G25" t="str">
        <f>IF(OR('HVAC Worksheet'!$C$12="",'HVAC Worksheet'!B40=""),"",'HVAC Worksheet'!$C$12)</f>
        <v/>
      </c>
      <c r="J25" t="str">
        <f>IF(E25="","",Calculations!BR30)</f>
        <v/>
      </c>
      <c r="K25" s="270" t="str">
        <f>IF(C25="","",IF(Calculations!$BP30="Tier 0",Calculations!AJ30,Calculations!#REF!))</f>
        <v/>
      </c>
      <c r="L25" s="270" t="str">
        <f>IF(C25="","",IF(Calculations!$BP30="Tier 0",Calculations!AK30,Calculations!#REF!))</f>
        <v/>
      </c>
      <c r="M25" s="270" t="str">
        <f>IF(C25="","",IF(Calculations!$BP30="Tier 0",Calculations!AL30,Calculations!#REF!))</f>
        <v/>
      </c>
      <c r="N25" s="270" t="str">
        <f>IF(C25="","",IF(Calculations!$BP30="Tier 0",Calculations!AM30,Calculations!#REF!))</f>
        <v/>
      </c>
      <c r="O25" s="270" t="str">
        <f>Calculations!K30</f>
        <v/>
      </c>
      <c r="P25" s="270" t="str">
        <f>Calculations!L30</f>
        <v/>
      </c>
      <c r="Q25" s="270" t="str">
        <f>Calculations!M30</f>
        <v/>
      </c>
      <c r="R25" s="270" t="str">
        <f>Calculations!N30</f>
        <v/>
      </c>
      <c r="S25" t="str">
        <f>IF(C25="","",INDEX(References!$E$118:$E$134,MATCH('HVAC Worksheet'!$B40,References!$D$118:$D$134,0)))</f>
        <v/>
      </c>
      <c r="T25" t="str">
        <f>IF(C25="","",INDEX(References!$F$118:$F$129,MATCH('HVAC Worksheet'!$B40,References!$D$118:$D$129,0)))</f>
        <v/>
      </c>
      <c r="U25" t="str">
        <f>IF(C25="","",INDEX(References!$G$118:$G$129,MATCH('HVAC Worksheet'!$B40,References!$D$118:$D$129,0)))</f>
        <v/>
      </c>
      <c r="V25" s="295" t="str">
        <f>IF(C25="","",Calculations!AB30)</f>
        <v/>
      </c>
      <c r="W25" s="295" t="str">
        <f>IF(C25="","",Calculations!AA30)</f>
        <v/>
      </c>
      <c r="X25" s="350" t="str">
        <f>IF(C25="","",Calculations!#REF!)</f>
        <v/>
      </c>
      <c r="Y25" s="351" t="str">
        <f>IF(C25="","",Calculations!#REF!)</f>
        <v/>
      </c>
      <c r="Z25" s="352" t="str">
        <f t="shared" si="2"/>
        <v/>
      </c>
      <c r="AA25" s="351" t="str">
        <f t="shared" si="3"/>
        <v/>
      </c>
      <c r="AB25" s="353" t="str">
        <f t="shared" si="4"/>
        <v/>
      </c>
      <c r="AC25" s="353" t="str">
        <f>IF('HVAC Worksheet'!B40="","",Calculations!#REF!)</f>
        <v/>
      </c>
      <c r="AD25" s="351" t="str">
        <f>IF('HVAC Worksheet'!B40="","",Calculations!#REF!)</f>
        <v/>
      </c>
      <c r="AE25" s="348" t="str">
        <f>IF(AC25="","",AC25*References!$B$21)</f>
        <v/>
      </c>
      <c r="AF25" s="348" t="str">
        <f>IF(AC25="","",AC25*References!$B$29)</f>
        <v/>
      </c>
      <c r="AG25" s="294">
        <f>'HVAC Worksheet'!O40</f>
        <v>0</v>
      </c>
      <c r="AH25" s="294">
        <f>'HVAC Worksheet'!P40</f>
        <v>0</v>
      </c>
      <c r="AI25" s="294" t="str">
        <f>IF('HVAC Worksheet'!Q40="","",'HVAC Worksheet'!Q40)</f>
        <v/>
      </c>
      <c r="AJ25" t="str">
        <f>IF('HVAC Worksheet'!F40="","",'HVAC Worksheet'!F40)</f>
        <v/>
      </c>
      <c r="AK25" t="str">
        <f>IF('HVAC Worksheet'!G40="","",'HVAC Worksheet'!G40)</f>
        <v/>
      </c>
      <c r="AL25" t="str">
        <f>IF(C25="","",Calculations!I30)</f>
        <v/>
      </c>
      <c r="AM25" t="str">
        <f>IF(C25="","",'HVAC Worksheet'!AF40/'HVAC Worksheet'!I40)</f>
        <v/>
      </c>
      <c r="AN25" t="str">
        <f t="shared" si="0"/>
        <v/>
      </c>
    </row>
    <row r="26" spans="1:40" ht="14.5" x14ac:dyDescent="0.35">
      <c r="A26">
        <f t="shared" si="1"/>
        <v>25</v>
      </c>
      <c r="C26" t="str">
        <f>IF(Calculations!Y31="Fail","",INDEX('HVAC Types'!$B$2:$B$90,MATCH(Calculations!$BR31,'HVAC Types'!$A$2:$A$90,0)))</f>
        <v/>
      </c>
      <c r="D26" t="str">
        <f>IF(C26="","",INDEX('HVAC Types'!$C$2:$C$90,MATCH(Calculations!$BR31,'HVAC Types'!$A$2:$A$90,0)))</f>
        <v/>
      </c>
      <c r="E26" t="str">
        <f>IF(C26="","",INDEX('HVAC Types'!$D$2:$D$90,MATCH(Calculations!$BR31,'HVAC Types'!$A$2:$A$90,0)))</f>
        <v/>
      </c>
      <c r="F26" t="str">
        <f>IF(Calculations!J31="","",Calculations!J31)</f>
        <v/>
      </c>
      <c r="G26" t="str">
        <f>IF(OR('HVAC Worksheet'!$C$12="",'HVAC Worksheet'!B41=""),"",'HVAC Worksheet'!$C$12)</f>
        <v/>
      </c>
      <c r="J26" t="str">
        <f>IF(E26="","",Calculations!BR31)</f>
        <v/>
      </c>
      <c r="K26" s="270" t="str">
        <f>IF(C26="","",IF(Calculations!$BP31="Tier 0",Calculations!AJ31,Calculations!#REF!))</f>
        <v/>
      </c>
      <c r="L26" s="270" t="str">
        <f>IF(C26="","",IF(Calculations!$BP31="Tier 0",Calculations!AK31,Calculations!#REF!))</f>
        <v/>
      </c>
      <c r="M26" s="270" t="str">
        <f>IF(C26="","",IF(Calculations!$BP31="Tier 0",Calculations!AL31,Calculations!#REF!))</f>
        <v/>
      </c>
      <c r="N26" s="270" t="str">
        <f>IF(C26="","",IF(Calculations!$BP31="Tier 0",Calculations!AM31,Calculations!#REF!))</f>
        <v/>
      </c>
      <c r="O26" s="270" t="str">
        <f>Calculations!K31</f>
        <v/>
      </c>
      <c r="P26" s="270" t="str">
        <f>Calculations!L31</f>
        <v/>
      </c>
      <c r="Q26" s="270" t="str">
        <f>Calculations!M31</f>
        <v/>
      </c>
      <c r="R26" s="270" t="str">
        <f>Calculations!N31</f>
        <v/>
      </c>
      <c r="S26" t="str">
        <f>IF(C26="","",INDEX(References!$E$118:$E$134,MATCH('HVAC Worksheet'!$B41,References!$D$118:$D$134,0)))</f>
        <v/>
      </c>
      <c r="T26" t="str">
        <f>IF(C26="","",INDEX(References!$F$118:$F$129,MATCH('HVAC Worksheet'!$B41,References!$D$118:$D$129,0)))</f>
        <v/>
      </c>
      <c r="U26" t="str">
        <f>IF(C26="","",INDEX(References!$G$118:$G$129,MATCH('HVAC Worksheet'!$B41,References!$D$118:$D$129,0)))</f>
        <v/>
      </c>
      <c r="V26" s="295" t="str">
        <f>IF(C26="","",Calculations!AB31)</f>
        <v/>
      </c>
      <c r="W26" s="295" t="str">
        <f>IF(C26="","",Calculations!AA31)</f>
        <v/>
      </c>
      <c r="X26" s="350" t="str">
        <f>IF(C26="","",Calculations!#REF!)</f>
        <v/>
      </c>
      <c r="Y26" s="351" t="str">
        <f>IF(C26="","",Calculations!#REF!)</f>
        <v/>
      </c>
      <c r="Z26" s="352" t="str">
        <f t="shared" si="2"/>
        <v/>
      </c>
      <c r="AA26" s="351" t="str">
        <f t="shared" si="3"/>
        <v/>
      </c>
      <c r="AB26" s="353" t="str">
        <f t="shared" si="4"/>
        <v/>
      </c>
      <c r="AC26" s="353" t="str">
        <f>IF('HVAC Worksheet'!B41="","",Calculations!#REF!)</f>
        <v/>
      </c>
      <c r="AD26" s="351" t="str">
        <f>IF('HVAC Worksheet'!B41="","",Calculations!#REF!)</f>
        <v/>
      </c>
      <c r="AE26" s="348" t="str">
        <f>IF(AC26="","",AC26*References!$B$21)</f>
        <v/>
      </c>
      <c r="AF26" s="348" t="str">
        <f>IF(AC26="","",AC26*References!$B$29)</f>
        <v/>
      </c>
      <c r="AG26" s="294">
        <f>'HVAC Worksheet'!O41</f>
        <v>0</v>
      </c>
      <c r="AH26" s="294">
        <f>'HVAC Worksheet'!P41</f>
        <v>0</v>
      </c>
      <c r="AI26" s="294" t="str">
        <f>IF('HVAC Worksheet'!Q41="","",'HVAC Worksheet'!Q41)</f>
        <v/>
      </c>
      <c r="AJ26" t="str">
        <f>IF('HVAC Worksheet'!F41="","",'HVAC Worksheet'!F41)</f>
        <v/>
      </c>
      <c r="AK26" t="str">
        <f>IF('HVAC Worksheet'!G41="","",'HVAC Worksheet'!G41)</f>
        <v/>
      </c>
      <c r="AL26" t="str">
        <f>IF(C26="","",Calculations!I31)</f>
        <v/>
      </c>
      <c r="AM26" t="str">
        <f>IF(C26="","",'HVAC Worksheet'!AF41/'HVAC Worksheet'!I41)</f>
        <v/>
      </c>
      <c r="AN26" t="str">
        <f t="shared" si="0"/>
        <v/>
      </c>
    </row>
    <row r="27" spans="1:40" ht="5.15" customHeight="1" x14ac:dyDescent="0.35">
      <c r="S27" t="str">
        <f>IF(C27="","",INDEX(References!$E$118:$E$134,MATCH('HVAC Worksheet'!$B42,References!$D$118:$D$134,0)))</f>
        <v/>
      </c>
      <c r="T27" t="str">
        <f>IF(C27="","",INDEX(References!$F$118:$F$129,MATCH('HVAC Worksheet'!$B42,References!$D$118:$D$129,0)))</f>
        <v/>
      </c>
      <c r="U27" t="str">
        <f>IF(C27="","",INDEX(References!$G$118:$G$129,MATCH('HVAC Worksheet'!$B42,References!$D$118:$D$129,0)))</f>
        <v/>
      </c>
    </row>
  </sheetData>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0000"/>
  </sheetPr>
  <dimension ref="A1:J198"/>
  <sheetViews>
    <sheetView topLeftCell="A58" zoomScaleNormal="100" workbookViewId="0">
      <selection activeCell="B79" sqref="B79:D79"/>
    </sheetView>
  </sheetViews>
  <sheetFormatPr defaultRowHeight="14.5" x14ac:dyDescent="0.35"/>
  <cols>
    <col min="1" max="1" width="31" customWidth="1"/>
    <col min="2" max="2" width="31.81640625" customWidth="1"/>
    <col min="3" max="3" width="28.453125" customWidth="1"/>
    <col min="4" max="4" width="54.81640625" customWidth="1"/>
    <col min="5" max="5" width="11.1796875" bestFit="1" customWidth="1"/>
  </cols>
  <sheetData>
    <row r="1" spans="1:4" x14ac:dyDescent="0.35">
      <c r="B1" s="267" t="s">
        <v>650</v>
      </c>
      <c r="C1" s="267" t="s">
        <v>649</v>
      </c>
      <c r="D1" s="267" t="s">
        <v>648</v>
      </c>
    </row>
    <row r="2" spans="1:4" x14ac:dyDescent="0.35">
      <c r="A2" t="str">
        <f t="shared" ref="A2:A39" si="0">RIGHT(D2,5)</f>
        <v>AC100</v>
      </c>
      <c r="B2" s="265" t="s">
        <v>654</v>
      </c>
      <c r="C2" s="265" t="s">
        <v>670</v>
      </c>
      <c r="D2" s="265" t="s">
        <v>744</v>
      </c>
    </row>
    <row r="3" spans="1:4" x14ac:dyDescent="0.35">
      <c r="A3" t="str">
        <f t="shared" si="0"/>
        <v>AC200</v>
      </c>
      <c r="B3" s="265" t="s">
        <v>654</v>
      </c>
      <c r="C3" s="265" t="s">
        <v>670</v>
      </c>
      <c r="D3" s="265" t="s">
        <v>743</v>
      </c>
    </row>
    <row r="4" spans="1:4" x14ac:dyDescent="0.35">
      <c r="A4" t="str">
        <f t="shared" si="0"/>
        <v>AC201</v>
      </c>
      <c r="B4" s="265" t="s">
        <v>654</v>
      </c>
      <c r="C4" s="265" t="s">
        <v>670</v>
      </c>
      <c r="D4" s="265" t="s">
        <v>742</v>
      </c>
    </row>
    <row r="5" spans="1:4" x14ac:dyDescent="0.35">
      <c r="A5" t="str">
        <f t="shared" si="0"/>
        <v>AC202</v>
      </c>
      <c r="B5" s="265" t="s">
        <v>654</v>
      </c>
      <c r="C5" s="265" t="s">
        <v>670</v>
      </c>
      <c r="D5" s="265" t="s">
        <v>741</v>
      </c>
    </row>
    <row r="6" spans="1:4" x14ac:dyDescent="0.35">
      <c r="A6" t="str">
        <f t="shared" si="0"/>
        <v>AC300</v>
      </c>
      <c r="B6" s="265" t="s">
        <v>654</v>
      </c>
      <c r="C6" s="265" t="s">
        <v>670</v>
      </c>
      <c r="D6" s="265" t="s">
        <v>740</v>
      </c>
    </row>
    <row r="7" spans="1:4" x14ac:dyDescent="0.35">
      <c r="A7" t="str">
        <f t="shared" si="0"/>
        <v>AC310</v>
      </c>
      <c r="B7" s="265" t="s">
        <v>654</v>
      </c>
      <c r="C7" s="265" t="s">
        <v>670</v>
      </c>
      <c r="D7" s="265" t="s">
        <v>739</v>
      </c>
    </row>
    <row r="8" spans="1:4" x14ac:dyDescent="0.35">
      <c r="A8" t="str">
        <f t="shared" si="0"/>
        <v>AC311</v>
      </c>
      <c r="B8" s="265" t="s">
        <v>654</v>
      </c>
      <c r="C8" s="265" t="s">
        <v>670</v>
      </c>
      <c r="D8" s="265" t="s">
        <v>738</v>
      </c>
    </row>
    <row r="9" spans="1:4" x14ac:dyDescent="0.35">
      <c r="A9" t="str">
        <f t="shared" si="0"/>
        <v>AC312</v>
      </c>
      <c r="B9" s="265" t="s">
        <v>654</v>
      </c>
      <c r="C9" s="265" t="s">
        <v>670</v>
      </c>
      <c r="D9" s="265" t="s">
        <v>737</v>
      </c>
    </row>
    <row r="10" spans="1:4" x14ac:dyDescent="0.35">
      <c r="A10" t="str">
        <f t="shared" si="0"/>
        <v>AC320</v>
      </c>
      <c r="B10" s="265" t="s">
        <v>654</v>
      </c>
      <c r="C10" s="265" t="s">
        <v>670</v>
      </c>
      <c r="D10" s="265" t="s">
        <v>736</v>
      </c>
    </row>
    <row r="11" spans="1:4" x14ac:dyDescent="0.35">
      <c r="A11" t="str">
        <f t="shared" si="0"/>
        <v>AC321</v>
      </c>
      <c r="B11" s="265" t="s">
        <v>654</v>
      </c>
      <c r="C11" s="265" t="s">
        <v>670</v>
      </c>
      <c r="D11" s="265" t="s">
        <v>735</v>
      </c>
    </row>
    <row r="12" spans="1:4" x14ac:dyDescent="0.35">
      <c r="A12" t="str">
        <f t="shared" si="0"/>
        <v>AC322</v>
      </c>
      <c r="B12" s="265" t="s">
        <v>654</v>
      </c>
      <c r="C12" s="265" t="s">
        <v>670</v>
      </c>
      <c r="D12" s="265" t="s">
        <v>734</v>
      </c>
    </row>
    <row r="13" spans="1:4" x14ac:dyDescent="0.35">
      <c r="A13" t="str">
        <f t="shared" si="0"/>
        <v>AC400</v>
      </c>
      <c r="B13" s="265" t="s">
        <v>654</v>
      </c>
      <c r="C13" s="265" t="s">
        <v>670</v>
      </c>
      <c r="D13" s="265" t="s">
        <v>733</v>
      </c>
    </row>
    <row r="14" spans="1:4" x14ac:dyDescent="0.35">
      <c r="A14" t="str">
        <f t="shared" si="0"/>
        <v>AC410</v>
      </c>
      <c r="B14" s="265" t="s">
        <v>654</v>
      </c>
      <c r="C14" s="265" t="s">
        <v>670</v>
      </c>
      <c r="D14" s="265" t="s">
        <v>732</v>
      </c>
    </row>
    <row r="15" spans="1:4" x14ac:dyDescent="0.35">
      <c r="A15" t="str">
        <f t="shared" si="0"/>
        <v>AC411</v>
      </c>
      <c r="B15" s="265" t="s">
        <v>654</v>
      </c>
      <c r="C15" s="265" t="s">
        <v>670</v>
      </c>
      <c r="D15" s="265" t="s">
        <v>731</v>
      </c>
    </row>
    <row r="16" spans="1:4" x14ac:dyDescent="0.35">
      <c r="A16" t="str">
        <f t="shared" si="0"/>
        <v>AC412</v>
      </c>
      <c r="B16" s="265" t="s">
        <v>654</v>
      </c>
      <c r="C16" s="265" t="s">
        <v>670</v>
      </c>
      <c r="D16" s="265" t="s">
        <v>730</v>
      </c>
    </row>
    <row r="17" spans="1:4" x14ac:dyDescent="0.35">
      <c r="A17" t="str">
        <f t="shared" si="0"/>
        <v>AC420</v>
      </c>
      <c r="B17" s="265" t="s">
        <v>654</v>
      </c>
      <c r="C17" s="265" t="s">
        <v>670</v>
      </c>
      <c r="D17" s="265" t="s">
        <v>729</v>
      </c>
    </row>
    <row r="18" spans="1:4" x14ac:dyDescent="0.35">
      <c r="A18" t="str">
        <f t="shared" si="0"/>
        <v>AC421</v>
      </c>
      <c r="B18" s="265" t="s">
        <v>654</v>
      </c>
      <c r="C18" s="265" t="s">
        <v>670</v>
      </c>
      <c r="D18" s="265" t="s">
        <v>728</v>
      </c>
    </row>
    <row r="19" spans="1:4" x14ac:dyDescent="0.35">
      <c r="A19" t="str">
        <f t="shared" si="0"/>
        <v>AC422</v>
      </c>
      <c r="B19" s="265" t="s">
        <v>654</v>
      </c>
      <c r="C19" s="265" t="s">
        <v>670</v>
      </c>
      <c r="D19" s="265" t="s">
        <v>727</v>
      </c>
    </row>
    <row r="20" spans="1:4" x14ac:dyDescent="0.35">
      <c r="A20" t="str">
        <f t="shared" si="0"/>
        <v>AC510</v>
      </c>
      <c r="B20" s="265" t="s">
        <v>654</v>
      </c>
      <c r="C20" s="265" t="s">
        <v>670</v>
      </c>
      <c r="D20" s="265" t="s">
        <v>726</v>
      </c>
    </row>
    <row r="21" spans="1:4" x14ac:dyDescent="0.35">
      <c r="A21" t="str">
        <f t="shared" si="0"/>
        <v>AC511</v>
      </c>
      <c r="B21" s="265" t="s">
        <v>654</v>
      </c>
      <c r="C21" s="265" t="s">
        <v>670</v>
      </c>
      <c r="D21" s="265" t="s">
        <v>725</v>
      </c>
    </row>
    <row r="22" spans="1:4" x14ac:dyDescent="0.35">
      <c r="A22" t="str">
        <f t="shared" si="0"/>
        <v>AC512</v>
      </c>
      <c r="B22" s="265" t="s">
        <v>654</v>
      </c>
      <c r="C22" s="265" t="s">
        <v>670</v>
      </c>
      <c r="D22" s="265" t="s">
        <v>724</v>
      </c>
    </row>
    <row r="23" spans="1:4" x14ac:dyDescent="0.35">
      <c r="A23" t="str">
        <f t="shared" si="0"/>
        <v>AC520</v>
      </c>
      <c r="B23" s="265" t="s">
        <v>654</v>
      </c>
      <c r="C23" s="265" t="s">
        <v>670</v>
      </c>
      <c r="D23" s="265" t="s">
        <v>723</v>
      </c>
    </row>
    <row r="24" spans="1:4" x14ac:dyDescent="0.35">
      <c r="A24" t="str">
        <f t="shared" si="0"/>
        <v>AC521</v>
      </c>
      <c r="B24" s="265" t="s">
        <v>654</v>
      </c>
      <c r="C24" s="265" t="s">
        <v>670</v>
      </c>
      <c r="D24" s="265" t="s">
        <v>722</v>
      </c>
    </row>
    <row r="25" spans="1:4" x14ac:dyDescent="0.35">
      <c r="A25" t="str">
        <f t="shared" si="0"/>
        <v>AC522</v>
      </c>
      <c r="B25" s="265" t="s">
        <v>654</v>
      </c>
      <c r="C25" s="265" t="s">
        <v>670</v>
      </c>
      <c r="D25" s="265" t="s">
        <v>721</v>
      </c>
    </row>
    <row r="26" spans="1:4" x14ac:dyDescent="0.35">
      <c r="A26" t="str">
        <f t="shared" si="0"/>
        <v>AC610</v>
      </c>
      <c r="B26" s="265" t="s">
        <v>654</v>
      </c>
      <c r="C26" s="265" t="s">
        <v>670</v>
      </c>
      <c r="D26" s="265" t="s">
        <v>720</v>
      </c>
    </row>
    <row r="27" spans="1:4" x14ac:dyDescent="0.35">
      <c r="A27" t="str">
        <f t="shared" si="0"/>
        <v>AC611</v>
      </c>
      <c r="B27" s="265" t="s">
        <v>654</v>
      </c>
      <c r="C27" s="265" t="s">
        <v>670</v>
      </c>
      <c r="D27" s="265" t="s">
        <v>719</v>
      </c>
    </row>
    <row r="28" spans="1:4" x14ac:dyDescent="0.35">
      <c r="A28" t="str">
        <f t="shared" si="0"/>
        <v>AC612</v>
      </c>
      <c r="B28" s="265" t="s">
        <v>654</v>
      </c>
      <c r="C28" s="265" t="s">
        <v>670</v>
      </c>
      <c r="D28" s="265" t="s">
        <v>718</v>
      </c>
    </row>
    <row r="29" spans="1:4" x14ac:dyDescent="0.35">
      <c r="A29" t="str">
        <f t="shared" si="0"/>
        <v>AC620</v>
      </c>
      <c r="B29" s="265" t="s">
        <v>654</v>
      </c>
      <c r="C29" s="265" t="s">
        <v>670</v>
      </c>
      <c r="D29" s="265" t="s">
        <v>717</v>
      </c>
    </row>
    <row r="30" spans="1:4" x14ac:dyDescent="0.35">
      <c r="A30" t="str">
        <f t="shared" si="0"/>
        <v>AC621</v>
      </c>
      <c r="B30" s="265" t="s">
        <v>654</v>
      </c>
      <c r="C30" s="265" t="s">
        <v>670</v>
      </c>
      <c r="D30" s="265" t="s">
        <v>716</v>
      </c>
    </row>
    <row r="31" spans="1:4" x14ac:dyDescent="0.35">
      <c r="A31" t="str">
        <f t="shared" si="0"/>
        <v>AC622</v>
      </c>
      <c r="B31" s="265" t="s">
        <v>654</v>
      </c>
      <c r="C31" s="265" t="s">
        <v>670</v>
      </c>
      <c r="D31" s="265" t="s">
        <v>715</v>
      </c>
    </row>
    <row r="32" spans="1:4" x14ac:dyDescent="0.35">
      <c r="A32" t="str">
        <f t="shared" si="0"/>
        <v>AC710</v>
      </c>
      <c r="B32" s="265" t="s">
        <v>654</v>
      </c>
      <c r="C32" s="265" t="s">
        <v>670</v>
      </c>
      <c r="D32" s="265" t="s">
        <v>714</v>
      </c>
    </row>
    <row r="33" spans="1:4" x14ac:dyDescent="0.35">
      <c r="A33" t="str">
        <f t="shared" si="0"/>
        <v>AC711</v>
      </c>
      <c r="B33" s="265" t="s">
        <v>654</v>
      </c>
      <c r="C33" s="265" t="s">
        <v>670</v>
      </c>
      <c r="D33" s="265" t="s">
        <v>713</v>
      </c>
    </row>
    <row r="34" spans="1:4" x14ac:dyDescent="0.35">
      <c r="A34" t="str">
        <f t="shared" si="0"/>
        <v>AC712</v>
      </c>
      <c r="B34" s="265" t="s">
        <v>654</v>
      </c>
      <c r="C34" s="265" t="s">
        <v>670</v>
      </c>
      <c r="D34" s="265" t="s">
        <v>712</v>
      </c>
    </row>
    <row r="35" spans="1:4" x14ac:dyDescent="0.35">
      <c r="A35" t="str">
        <f t="shared" si="0"/>
        <v>AC720</v>
      </c>
      <c r="B35" s="265" t="s">
        <v>654</v>
      </c>
      <c r="C35" s="265" t="s">
        <v>670</v>
      </c>
      <c r="D35" s="265" t="s">
        <v>711</v>
      </c>
    </row>
    <row r="36" spans="1:4" x14ac:dyDescent="0.35">
      <c r="A36" t="str">
        <f t="shared" si="0"/>
        <v>AC721</v>
      </c>
      <c r="B36" s="265" t="s">
        <v>654</v>
      </c>
      <c r="C36" s="265" t="s">
        <v>670</v>
      </c>
      <c r="D36" s="265" t="s">
        <v>710</v>
      </c>
    </row>
    <row r="37" spans="1:4" x14ac:dyDescent="0.35">
      <c r="A37" t="str">
        <f t="shared" si="0"/>
        <v>AC722</v>
      </c>
      <c r="B37" s="265" t="s">
        <v>654</v>
      </c>
      <c r="C37" s="265" t="s">
        <v>670</v>
      </c>
      <c r="D37" s="265" t="s">
        <v>709</v>
      </c>
    </row>
    <row r="38" spans="1:4" x14ac:dyDescent="0.35">
      <c r="A38" t="str">
        <f t="shared" si="0"/>
        <v>AC811</v>
      </c>
      <c r="B38" s="265" t="s">
        <v>654</v>
      </c>
      <c r="C38" s="265" t="s">
        <v>670</v>
      </c>
      <c r="D38" s="265" t="s">
        <v>708</v>
      </c>
    </row>
    <row r="39" spans="1:4" x14ac:dyDescent="0.35">
      <c r="A39" t="str">
        <f t="shared" si="0"/>
        <v>AC821</v>
      </c>
      <c r="B39" s="265" t="s">
        <v>654</v>
      </c>
      <c r="C39" s="265" t="s">
        <v>670</v>
      </c>
      <c r="D39" s="265" t="s">
        <v>707</v>
      </c>
    </row>
    <row r="40" spans="1:4" x14ac:dyDescent="0.35">
      <c r="A40" t="s">
        <v>934</v>
      </c>
      <c r="B40" s="265" t="s">
        <v>654</v>
      </c>
      <c r="C40" s="265" t="s">
        <v>670</v>
      </c>
      <c r="D40" s="265" t="s">
        <v>960</v>
      </c>
    </row>
    <row r="41" spans="1:4" x14ac:dyDescent="0.35">
      <c r="A41" t="s">
        <v>937</v>
      </c>
      <c r="B41" s="265" t="s">
        <v>654</v>
      </c>
      <c r="C41" s="265" t="s">
        <v>670</v>
      </c>
      <c r="D41" s="265" t="s">
        <v>961</v>
      </c>
    </row>
    <row r="42" spans="1:4" x14ac:dyDescent="0.35">
      <c r="A42" t="s">
        <v>939</v>
      </c>
      <c r="B42" s="265" t="s">
        <v>654</v>
      </c>
      <c r="C42" s="265" t="s">
        <v>670</v>
      </c>
      <c r="D42" s="265" t="s">
        <v>962</v>
      </c>
    </row>
    <row r="43" spans="1:4" x14ac:dyDescent="0.35">
      <c r="A43" t="str">
        <f t="shared" ref="A43:A51" si="1">RIGHT(D43,6)</f>
        <v>GHP100</v>
      </c>
      <c r="B43" s="266" t="s">
        <v>654</v>
      </c>
      <c r="C43" s="266" t="s">
        <v>653</v>
      </c>
      <c r="D43" s="266" t="s">
        <v>705</v>
      </c>
    </row>
    <row r="44" spans="1:4" x14ac:dyDescent="0.35">
      <c r="A44" t="str">
        <f t="shared" si="1"/>
        <v>GHP101</v>
      </c>
      <c r="B44" s="266" t="s">
        <v>654</v>
      </c>
      <c r="C44" s="266" t="s">
        <v>653</v>
      </c>
      <c r="D44" s="266" t="s">
        <v>703</v>
      </c>
    </row>
    <row r="45" spans="1:4" x14ac:dyDescent="0.35">
      <c r="A45" t="str">
        <f t="shared" si="1"/>
        <v>GHP102</v>
      </c>
      <c r="B45" s="266" t="s">
        <v>654</v>
      </c>
      <c r="C45" s="266" t="s">
        <v>653</v>
      </c>
      <c r="D45" s="266" t="s">
        <v>701</v>
      </c>
    </row>
    <row r="46" spans="1:4" x14ac:dyDescent="0.35">
      <c r="A46" t="str">
        <f t="shared" si="1"/>
        <v>GHP200</v>
      </c>
      <c r="B46" s="266" t="s">
        <v>654</v>
      </c>
      <c r="C46" s="266" t="s">
        <v>653</v>
      </c>
      <c r="D46" s="266" t="s">
        <v>700</v>
      </c>
    </row>
    <row r="47" spans="1:4" x14ac:dyDescent="0.35">
      <c r="A47" t="str">
        <f t="shared" si="1"/>
        <v>GHP201</v>
      </c>
      <c r="B47" s="266" t="s">
        <v>654</v>
      </c>
      <c r="C47" s="266" t="s">
        <v>653</v>
      </c>
      <c r="D47" s="266" t="s">
        <v>699</v>
      </c>
    </row>
    <row r="48" spans="1:4" x14ac:dyDescent="0.35">
      <c r="A48" t="str">
        <f t="shared" si="1"/>
        <v>GHP202</v>
      </c>
      <c r="B48" s="266" t="s">
        <v>654</v>
      </c>
      <c r="C48" s="266" t="s">
        <v>653</v>
      </c>
      <c r="D48" s="266" t="s">
        <v>698</v>
      </c>
    </row>
    <row r="49" spans="1:10" x14ac:dyDescent="0.35">
      <c r="A49" t="str">
        <f t="shared" si="1"/>
        <v>GHP300</v>
      </c>
      <c r="B49" s="266" t="s">
        <v>654</v>
      </c>
      <c r="C49" s="266" t="s">
        <v>653</v>
      </c>
      <c r="D49" s="266" t="s">
        <v>693</v>
      </c>
    </row>
    <row r="50" spans="1:10" x14ac:dyDescent="0.35">
      <c r="A50" t="str">
        <f t="shared" si="1"/>
        <v>GHP301</v>
      </c>
      <c r="B50" s="266" t="s">
        <v>654</v>
      </c>
      <c r="C50" s="266" t="s">
        <v>653</v>
      </c>
      <c r="D50" s="266" t="s">
        <v>692</v>
      </c>
    </row>
    <row r="51" spans="1:10" x14ac:dyDescent="0.35">
      <c r="A51" t="str">
        <f t="shared" si="1"/>
        <v>GHP302</v>
      </c>
      <c r="B51" s="266" t="s">
        <v>654</v>
      </c>
      <c r="C51" s="266" t="s">
        <v>653</v>
      </c>
      <c r="D51" s="266" t="s">
        <v>691</v>
      </c>
      <c r="H51" t="s">
        <v>875</v>
      </c>
      <c r="I51" t="s">
        <v>90</v>
      </c>
      <c r="J51" t="s">
        <v>867</v>
      </c>
    </row>
    <row r="52" spans="1:10" x14ac:dyDescent="0.35">
      <c r="A52" t="str">
        <f t="shared" ref="A52:A65" si="2">RIGHT(D52,5)</f>
        <v>HP100</v>
      </c>
      <c r="B52" s="265" t="s">
        <v>654</v>
      </c>
      <c r="C52" s="265" t="s">
        <v>653</v>
      </c>
      <c r="D52" s="265" t="s">
        <v>706</v>
      </c>
    </row>
    <row r="53" spans="1:10" x14ac:dyDescent="0.35">
      <c r="A53" t="str">
        <f t="shared" si="2"/>
        <v>HP101</v>
      </c>
      <c r="B53" s="265" t="s">
        <v>654</v>
      </c>
      <c r="C53" s="265" t="s">
        <v>653</v>
      </c>
      <c r="D53" s="265" t="s">
        <v>704</v>
      </c>
      <c r="I53" t="s">
        <v>98</v>
      </c>
      <c r="J53" t="s">
        <v>867</v>
      </c>
    </row>
    <row r="54" spans="1:10" x14ac:dyDescent="0.35">
      <c r="A54" t="str">
        <f t="shared" si="2"/>
        <v>HP102</v>
      </c>
      <c r="B54" s="265" t="s">
        <v>654</v>
      </c>
      <c r="C54" s="265" t="s">
        <v>653</v>
      </c>
      <c r="D54" s="265" t="s">
        <v>702</v>
      </c>
      <c r="I54" t="s">
        <v>93</v>
      </c>
      <c r="J54" t="s">
        <v>867</v>
      </c>
    </row>
    <row r="55" spans="1:10" x14ac:dyDescent="0.35">
      <c r="A55" t="str">
        <f t="shared" si="2"/>
        <v>HP211</v>
      </c>
      <c r="B55" s="265" t="s">
        <v>654</v>
      </c>
      <c r="C55" s="265" t="s">
        <v>653</v>
      </c>
      <c r="D55" s="265" t="s">
        <v>697</v>
      </c>
      <c r="I55" t="s">
        <v>866</v>
      </c>
      <c r="J55" t="s">
        <v>867</v>
      </c>
    </row>
    <row r="56" spans="1:10" x14ac:dyDescent="0.35">
      <c r="A56" t="str">
        <f t="shared" si="2"/>
        <v>HP212</v>
      </c>
      <c r="B56" s="265" t="s">
        <v>654</v>
      </c>
      <c r="C56" s="265" t="s">
        <v>653</v>
      </c>
      <c r="D56" s="265" t="s">
        <v>696</v>
      </c>
      <c r="H56" t="s">
        <v>876</v>
      </c>
      <c r="I56" t="s">
        <v>96</v>
      </c>
      <c r="J56" t="s">
        <v>872</v>
      </c>
    </row>
    <row r="57" spans="1:10" x14ac:dyDescent="0.35">
      <c r="A57" t="str">
        <f t="shared" si="2"/>
        <v>HP221</v>
      </c>
      <c r="B57" s="265" t="s">
        <v>654</v>
      </c>
      <c r="C57" s="265" t="s">
        <v>653</v>
      </c>
      <c r="D57" s="265" t="s">
        <v>695</v>
      </c>
    </row>
    <row r="58" spans="1:10" x14ac:dyDescent="0.35">
      <c r="A58" t="str">
        <f t="shared" si="2"/>
        <v>HP222</v>
      </c>
      <c r="B58" s="265" t="s">
        <v>654</v>
      </c>
      <c r="C58" s="265" t="s">
        <v>653</v>
      </c>
      <c r="D58" s="265" t="s">
        <v>694</v>
      </c>
    </row>
    <row r="59" spans="1:10" x14ac:dyDescent="0.35">
      <c r="A59" t="str">
        <f t="shared" si="2"/>
        <v>HP311</v>
      </c>
      <c r="B59" s="265" t="s">
        <v>654</v>
      </c>
      <c r="C59" s="265" t="s">
        <v>653</v>
      </c>
      <c r="D59" s="265" t="s">
        <v>690</v>
      </c>
    </row>
    <row r="60" spans="1:10" x14ac:dyDescent="0.35">
      <c r="A60" t="str">
        <f t="shared" si="2"/>
        <v>HP321</v>
      </c>
      <c r="B60" s="265" t="s">
        <v>654</v>
      </c>
      <c r="C60" s="265" t="s">
        <v>653</v>
      </c>
      <c r="D60" s="265" t="s">
        <v>689</v>
      </c>
    </row>
    <row r="61" spans="1:10" x14ac:dyDescent="0.35">
      <c r="A61" t="str">
        <f t="shared" si="2"/>
        <v>HP411</v>
      </c>
      <c r="B61" s="265" t="s">
        <v>654</v>
      </c>
      <c r="C61" s="265" t="s">
        <v>653</v>
      </c>
      <c r="D61" s="265" t="s">
        <v>688</v>
      </c>
    </row>
    <row r="62" spans="1:10" x14ac:dyDescent="0.35">
      <c r="A62" t="str">
        <f t="shared" si="2"/>
        <v>HP421</v>
      </c>
      <c r="B62" s="265" t="s">
        <v>654</v>
      </c>
      <c r="C62" s="265" t="s">
        <v>653</v>
      </c>
      <c r="D62" s="265" t="s">
        <v>687</v>
      </c>
    </row>
    <row r="63" spans="1:10" x14ac:dyDescent="0.35">
      <c r="A63" t="str">
        <f t="shared" si="2"/>
        <v>HP511</v>
      </c>
      <c r="B63" s="265" t="s">
        <v>654</v>
      </c>
      <c r="C63" s="265" t="s">
        <v>653</v>
      </c>
      <c r="D63" s="265" t="s">
        <v>686</v>
      </c>
    </row>
    <row r="64" spans="1:10" x14ac:dyDescent="0.35">
      <c r="A64" t="str">
        <f t="shared" si="2"/>
        <v>HP521</v>
      </c>
      <c r="B64" s="265" t="s">
        <v>654</v>
      </c>
      <c r="C64" s="265" t="s">
        <v>653</v>
      </c>
      <c r="D64" s="265" t="s">
        <v>685</v>
      </c>
    </row>
    <row r="65" spans="1:4" x14ac:dyDescent="0.35">
      <c r="A65" t="str">
        <f t="shared" si="2"/>
        <v>HP601</v>
      </c>
      <c r="B65" s="265" t="s">
        <v>654</v>
      </c>
      <c r="C65" s="265" t="s">
        <v>653</v>
      </c>
      <c r="D65" s="265" t="s">
        <v>684</v>
      </c>
    </row>
    <row r="66" spans="1:4" x14ac:dyDescent="0.35">
      <c r="A66" t="s">
        <v>944</v>
      </c>
      <c r="B66" s="265" t="s">
        <v>654</v>
      </c>
      <c r="C66" s="265" t="s">
        <v>653</v>
      </c>
      <c r="D66" s="265" t="s">
        <v>963</v>
      </c>
    </row>
    <row r="67" spans="1:4" x14ac:dyDescent="0.35">
      <c r="A67" t="s">
        <v>947</v>
      </c>
      <c r="B67" s="265" t="s">
        <v>654</v>
      </c>
      <c r="C67" s="265" t="s">
        <v>653</v>
      </c>
      <c r="D67" s="265" t="s">
        <v>964</v>
      </c>
    </row>
    <row r="68" spans="1:4" x14ac:dyDescent="0.35">
      <c r="A68" t="s">
        <v>950</v>
      </c>
      <c r="B68" s="265" t="s">
        <v>654</v>
      </c>
      <c r="C68" s="265" t="s">
        <v>653</v>
      </c>
      <c r="D68" s="265" t="s">
        <v>965</v>
      </c>
    </row>
    <row r="69" spans="1:4" x14ac:dyDescent="0.35">
      <c r="A69" t="s">
        <v>888</v>
      </c>
      <c r="B69" s="265" t="s">
        <v>654</v>
      </c>
      <c r="C69" s="265" t="s">
        <v>653</v>
      </c>
      <c r="D69" s="265" t="str">
        <f>"VRF Water Source Heat Pump - "&amp;A69</f>
        <v>VRF Water Source Heat Pump - VHP211</v>
      </c>
    </row>
    <row r="70" spans="1:4" x14ac:dyDescent="0.35">
      <c r="A70" t="s">
        <v>889</v>
      </c>
      <c r="B70" s="265" t="s">
        <v>654</v>
      </c>
      <c r="C70" s="265" t="s">
        <v>653</v>
      </c>
      <c r="D70" s="265" t="str">
        <f>"VRF Air Cooled Heat Pump - "&amp;A70</f>
        <v>VRF Air Cooled Heat Pump - VHP212</v>
      </c>
    </row>
    <row r="71" spans="1:4" x14ac:dyDescent="0.35">
      <c r="A71" t="s">
        <v>890</v>
      </c>
      <c r="B71" s="265" t="s">
        <v>654</v>
      </c>
      <c r="C71" s="265" t="s">
        <v>653</v>
      </c>
      <c r="D71" s="265" t="str">
        <f>"VRF Air Cooled Heat Pump - "&amp;A71</f>
        <v>VRF Air Cooled Heat Pump - VHP311</v>
      </c>
    </row>
    <row r="72" spans="1:4" x14ac:dyDescent="0.35">
      <c r="A72" t="s">
        <v>891</v>
      </c>
      <c r="B72" s="265" t="s">
        <v>654</v>
      </c>
      <c r="C72" s="265" t="s">
        <v>653</v>
      </c>
      <c r="D72" s="265" t="str">
        <f>"VRF Air Cooled Heat Pump - "&amp;A72</f>
        <v>VRF Air Cooled Heat Pump - VHP321</v>
      </c>
    </row>
    <row r="73" spans="1:4" x14ac:dyDescent="0.35">
      <c r="A73" t="s">
        <v>892</v>
      </c>
      <c r="B73" s="265" t="s">
        <v>654</v>
      </c>
      <c r="C73" s="265" t="s">
        <v>653</v>
      </c>
      <c r="D73" s="265" t="str">
        <f>"VRF Air Cooled Heat Pump - "&amp;A73</f>
        <v>VRF Air Cooled Heat Pump - VHP411</v>
      </c>
    </row>
    <row r="74" spans="1:4" x14ac:dyDescent="0.35">
      <c r="A74" t="s">
        <v>893</v>
      </c>
      <c r="B74" s="265" t="s">
        <v>654</v>
      </c>
      <c r="C74" s="265" t="s">
        <v>653</v>
      </c>
      <c r="D74" s="265" t="str">
        <f>"VRF Air Cooled Heat Pump - "&amp;A74</f>
        <v>VRF Air Cooled Heat Pump - VHP421</v>
      </c>
    </row>
    <row r="75" spans="1:4" x14ac:dyDescent="0.35">
      <c r="A75" t="s">
        <v>1604</v>
      </c>
      <c r="B75" s="265" t="s">
        <v>654</v>
      </c>
      <c r="C75" s="265" t="s">
        <v>653</v>
      </c>
      <c r="D75" t="str">
        <f>"Ductless Mini-Split Cold Climate Heat Pump - "&amp;A75</f>
        <v>Ductless Mini-Split Cold Climate Heat Pump - CCHP101</v>
      </c>
    </row>
    <row r="76" spans="1:4" x14ac:dyDescent="0.35">
      <c r="A76" t="s">
        <v>1594</v>
      </c>
      <c r="B76" s="265" t="s">
        <v>654</v>
      </c>
      <c r="C76" s="265" t="s">
        <v>653</v>
      </c>
      <c r="D76" t="str">
        <f>"Ductless Mini-Split Cold Climate Heat Pump - "&amp;A76</f>
        <v>Ductless Mini-Split Cold Climate Heat Pump - CCHP101-NC</v>
      </c>
    </row>
    <row r="77" spans="1:4" x14ac:dyDescent="0.35">
      <c r="A77" t="s">
        <v>1595</v>
      </c>
      <c r="B77" s="265" t="s">
        <v>654</v>
      </c>
      <c r="C77" s="265" t="s">
        <v>653</v>
      </c>
      <c r="D77" t="str">
        <f>"Ductless Mini-Split Cold Climate Heat Pump - "&amp;A77</f>
        <v>Ductless Mini-Split Cold Climate Heat Pump - CCHP101-OC</v>
      </c>
    </row>
    <row r="78" spans="1:4" x14ac:dyDescent="0.35">
      <c r="A78" t="s">
        <v>1596</v>
      </c>
      <c r="B78" s="265" t="s">
        <v>654</v>
      </c>
      <c r="C78" s="265" t="s">
        <v>653</v>
      </c>
      <c r="D78" t="str">
        <f>"Ductless Mini-Split Cold Climate Heat Pump - "&amp;A78</f>
        <v>Ductless Mini-Split Cold Climate Heat Pump - CCHP101-AO</v>
      </c>
    </row>
    <row r="79" spans="1:4" x14ac:dyDescent="0.35">
      <c r="A79" t="s">
        <v>2254</v>
      </c>
      <c r="B79" s="265" t="s">
        <v>654</v>
      </c>
      <c r="C79" s="265" t="s">
        <v>653</v>
      </c>
      <c r="D79" t="str">
        <f>"Ductless Multi-Split Cold Climate Heat Pump - "&amp;A79</f>
        <v>Ductless Multi-Split Cold Climate Heat Pump - CCHP151</v>
      </c>
    </row>
    <row r="80" spans="1:4" x14ac:dyDescent="0.35">
      <c r="A80" t="s">
        <v>1895</v>
      </c>
      <c r="B80" s="265" t="s">
        <v>654</v>
      </c>
      <c r="C80" s="265" t="s">
        <v>653</v>
      </c>
      <c r="D80" t="str">
        <f>"Ductless Multi-Split Cold Climate Heat Pump - "&amp;A80</f>
        <v>Ductless Multi-Split Cold Climate Heat Pump - CCHP151-NC</v>
      </c>
    </row>
    <row r="81" spans="1:4" x14ac:dyDescent="0.35">
      <c r="A81" t="s">
        <v>1896</v>
      </c>
      <c r="B81" s="265" t="s">
        <v>654</v>
      </c>
      <c r="C81" s="265" t="s">
        <v>653</v>
      </c>
      <c r="D81" t="str">
        <f>"Ductless Multi-Split Cold Climate Heat Pump - "&amp;A81</f>
        <v>Ductless Multi-Split Cold Climate Heat Pump - CCHP151-OC</v>
      </c>
    </row>
    <row r="82" spans="1:4" x14ac:dyDescent="0.35">
      <c r="A82" t="s">
        <v>1897</v>
      </c>
      <c r="B82" s="265" t="s">
        <v>654</v>
      </c>
      <c r="C82" s="265" t="s">
        <v>653</v>
      </c>
      <c r="D82" t="str">
        <f>"Ductless Multi-Split Cold Climate Heat Pump - "&amp;A82</f>
        <v>Ductless Multi-Split Cold Climate Heat Pump - CCHP151-AO</v>
      </c>
    </row>
    <row r="83" spans="1:4" x14ac:dyDescent="0.35">
      <c r="A83" t="s">
        <v>1607</v>
      </c>
      <c r="B83" s="265" t="s">
        <v>654</v>
      </c>
      <c r="C83" s="265" t="s">
        <v>653</v>
      </c>
      <c r="D83" t="str">
        <f>"Ducted Cold Climate Heat Pump - "&amp;A83</f>
        <v>Ducted Cold Climate Heat Pump - CCHP211</v>
      </c>
    </row>
    <row r="84" spans="1:4" x14ac:dyDescent="0.35">
      <c r="A84" t="s">
        <v>1597</v>
      </c>
      <c r="B84" s="265" t="s">
        <v>654</v>
      </c>
      <c r="C84" s="265" t="s">
        <v>653</v>
      </c>
      <c r="D84" t="str">
        <f>"Ducted Cold Climate Heat Pump - "&amp;A84</f>
        <v>Ducted Cold Climate Heat Pump - CCHP211-NC</v>
      </c>
    </row>
    <row r="85" spans="1:4" x14ac:dyDescent="0.35">
      <c r="A85" t="s">
        <v>1598</v>
      </c>
      <c r="B85" s="265" t="s">
        <v>654</v>
      </c>
      <c r="C85" s="265" t="s">
        <v>653</v>
      </c>
      <c r="D85" t="str">
        <f>"Ducted Cold Climate Heat Pump - "&amp;A85</f>
        <v>Ducted Cold Climate Heat Pump - CCHP211-OC</v>
      </c>
    </row>
    <row r="86" spans="1:4" x14ac:dyDescent="0.35">
      <c r="A86" t="s">
        <v>1599</v>
      </c>
      <c r="B86" s="265" t="s">
        <v>654</v>
      </c>
      <c r="C86" s="265" t="s">
        <v>653</v>
      </c>
      <c r="D86" t="str">
        <f>"Ducted Cold Climate Heat Pump - "&amp;A86</f>
        <v>Ducted Cold Climate Heat Pump - CCHP211-AO</v>
      </c>
    </row>
    <row r="87" spans="1:4" x14ac:dyDescent="0.35">
      <c r="A87" t="s">
        <v>1875</v>
      </c>
      <c r="B87" s="265" t="s">
        <v>654</v>
      </c>
      <c r="C87" s="563" t="s">
        <v>1610</v>
      </c>
      <c r="D87" t="str">
        <f>"Cooling HVAC Equipment - "&amp;A87</f>
        <v>Cooling HVAC Equipment - CEP405</v>
      </c>
    </row>
    <row r="88" spans="1:4" x14ac:dyDescent="0.35">
      <c r="A88" t="s">
        <v>1876</v>
      </c>
      <c r="B88" s="265" t="s">
        <v>654</v>
      </c>
      <c r="C88" s="563" t="s">
        <v>1610</v>
      </c>
      <c r="D88" t="str">
        <f>"Cooling HVAC Equipment - "&amp;A88</f>
        <v>Cooling HVAC Equipment - CEP406</v>
      </c>
    </row>
    <row r="89" spans="1:4" x14ac:dyDescent="0.35">
      <c r="A89" t="s">
        <v>1877</v>
      </c>
      <c r="B89" s="265" t="s">
        <v>654</v>
      </c>
      <c r="C89" s="563" t="s">
        <v>1610</v>
      </c>
      <c r="D89" t="str">
        <f>"Cooling HVAC Equipment - "&amp;A89</f>
        <v>Cooling HVAC Equipment - CEP410</v>
      </c>
    </row>
    <row r="90" spans="1:4" x14ac:dyDescent="0.35">
      <c r="A90" t="s">
        <v>1592</v>
      </c>
      <c r="B90" s="265" t="s">
        <v>654</v>
      </c>
      <c r="C90" s="563" t="s">
        <v>1610</v>
      </c>
      <c r="D90" t="str">
        <f>"Cooling HVAC Equipment - "&amp;A90</f>
        <v>Cooling HVAC Equipment - CEP402</v>
      </c>
    </row>
    <row r="99" spans="2:4" x14ac:dyDescent="0.35">
      <c r="B99" s="265" t="s">
        <v>654</v>
      </c>
      <c r="C99" s="265" t="s">
        <v>670</v>
      </c>
      <c r="D99" s="265" t="s">
        <v>683</v>
      </c>
    </row>
    <row r="100" spans="2:4" x14ac:dyDescent="0.35">
      <c r="B100" s="265" t="s">
        <v>654</v>
      </c>
      <c r="C100" s="265" t="s">
        <v>670</v>
      </c>
      <c r="D100" s="265" t="s">
        <v>682</v>
      </c>
    </row>
    <row r="101" spans="2:4" ht="26" x14ac:dyDescent="0.35">
      <c r="B101" s="265" t="s">
        <v>654</v>
      </c>
      <c r="C101" s="265" t="s">
        <v>670</v>
      </c>
      <c r="D101" s="265" t="s">
        <v>681</v>
      </c>
    </row>
    <row r="102" spans="2:4" x14ac:dyDescent="0.35">
      <c r="B102" s="265" t="s">
        <v>654</v>
      </c>
      <c r="C102" s="265" t="s">
        <v>670</v>
      </c>
      <c r="D102" s="265" t="s">
        <v>680</v>
      </c>
    </row>
    <row r="103" spans="2:4" x14ac:dyDescent="0.35">
      <c r="B103" s="265" t="s">
        <v>654</v>
      </c>
      <c r="C103" s="265" t="s">
        <v>670</v>
      </c>
      <c r="D103" s="265" t="s">
        <v>679</v>
      </c>
    </row>
    <row r="104" spans="2:4" x14ac:dyDescent="0.35">
      <c r="B104" s="265" t="s">
        <v>654</v>
      </c>
      <c r="C104" s="265" t="s">
        <v>670</v>
      </c>
      <c r="D104" s="265" t="s">
        <v>678</v>
      </c>
    </row>
    <row r="105" spans="2:4" x14ac:dyDescent="0.35">
      <c r="B105" s="265" t="s">
        <v>654</v>
      </c>
      <c r="C105" s="265" t="s">
        <v>670</v>
      </c>
      <c r="D105" s="265" t="s">
        <v>677</v>
      </c>
    </row>
    <row r="106" spans="2:4" x14ac:dyDescent="0.35">
      <c r="B106" s="265" t="s">
        <v>654</v>
      </c>
      <c r="C106" s="265" t="s">
        <v>670</v>
      </c>
      <c r="D106" s="265" t="s">
        <v>676</v>
      </c>
    </row>
    <row r="107" spans="2:4" x14ac:dyDescent="0.35">
      <c r="B107" s="265" t="s">
        <v>654</v>
      </c>
      <c r="C107" s="265" t="s">
        <v>670</v>
      </c>
      <c r="D107" s="265" t="s">
        <v>675</v>
      </c>
    </row>
    <row r="108" spans="2:4" x14ac:dyDescent="0.35">
      <c r="B108" s="265" t="s">
        <v>654</v>
      </c>
      <c r="C108" s="265" t="s">
        <v>670</v>
      </c>
      <c r="D108" s="265" t="s">
        <v>674</v>
      </c>
    </row>
    <row r="109" spans="2:4" x14ac:dyDescent="0.35">
      <c r="B109" s="265" t="s">
        <v>654</v>
      </c>
      <c r="C109" s="265" t="s">
        <v>670</v>
      </c>
      <c r="D109" s="265" t="s">
        <v>673</v>
      </c>
    </row>
    <row r="110" spans="2:4" x14ac:dyDescent="0.35">
      <c r="B110" s="265" t="s">
        <v>654</v>
      </c>
      <c r="C110" s="265" t="s">
        <v>670</v>
      </c>
      <c r="D110" s="265" t="s">
        <v>672</v>
      </c>
    </row>
    <row r="111" spans="2:4" x14ac:dyDescent="0.35">
      <c r="B111" s="265" t="s">
        <v>654</v>
      </c>
      <c r="C111" s="265" t="s">
        <v>670</v>
      </c>
      <c r="D111" s="265" t="s">
        <v>671</v>
      </c>
    </row>
    <row r="112" spans="2:4" x14ac:dyDescent="0.35">
      <c r="B112" s="265" t="s">
        <v>654</v>
      </c>
      <c r="C112" s="265" t="s">
        <v>670</v>
      </c>
      <c r="D112" s="265" t="s">
        <v>669</v>
      </c>
    </row>
    <row r="113" spans="2:4" x14ac:dyDescent="0.35">
      <c r="B113" s="265" t="s">
        <v>654</v>
      </c>
      <c r="C113" s="265" t="s">
        <v>653</v>
      </c>
      <c r="D113" s="265" t="s">
        <v>668</v>
      </c>
    </row>
    <row r="114" spans="2:4" x14ac:dyDescent="0.35">
      <c r="B114" s="265" t="s">
        <v>654</v>
      </c>
      <c r="C114" s="265" t="s">
        <v>653</v>
      </c>
      <c r="D114" s="265" t="s">
        <v>667</v>
      </c>
    </row>
    <row r="115" spans="2:4" x14ac:dyDescent="0.35">
      <c r="B115" s="265" t="s">
        <v>654</v>
      </c>
      <c r="C115" s="265" t="s">
        <v>653</v>
      </c>
      <c r="D115" s="265" t="s">
        <v>666</v>
      </c>
    </row>
    <row r="116" spans="2:4" x14ac:dyDescent="0.35">
      <c r="B116" s="265" t="s">
        <v>654</v>
      </c>
      <c r="C116" s="265" t="s">
        <v>653</v>
      </c>
      <c r="D116" s="265" t="s">
        <v>665</v>
      </c>
    </row>
    <row r="117" spans="2:4" x14ac:dyDescent="0.35">
      <c r="B117" s="265" t="s">
        <v>654</v>
      </c>
      <c r="C117" s="265" t="s">
        <v>653</v>
      </c>
      <c r="D117" s="265" t="s">
        <v>664</v>
      </c>
    </row>
    <row r="118" spans="2:4" x14ac:dyDescent="0.35">
      <c r="B118" s="265" t="s">
        <v>654</v>
      </c>
      <c r="C118" s="265" t="s">
        <v>653</v>
      </c>
      <c r="D118" s="265" t="s">
        <v>663</v>
      </c>
    </row>
    <row r="119" spans="2:4" x14ac:dyDescent="0.35">
      <c r="B119" s="264" t="s">
        <v>654</v>
      </c>
      <c r="C119" s="264" t="s">
        <v>653</v>
      </c>
      <c r="D119" s="264" t="s">
        <v>662</v>
      </c>
    </row>
    <row r="120" spans="2:4" x14ac:dyDescent="0.35">
      <c r="B120" s="264" t="s">
        <v>654</v>
      </c>
      <c r="C120" s="264" t="s">
        <v>653</v>
      </c>
      <c r="D120" s="264" t="s">
        <v>661</v>
      </c>
    </row>
    <row r="121" spans="2:4" x14ac:dyDescent="0.35">
      <c r="B121" s="264" t="s">
        <v>654</v>
      </c>
      <c r="C121" s="264" t="s">
        <v>653</v>
      </c>
      <c r="D121" s="264" t="s">
        <v>660</v>
      </c>
    </row>
    <row r="122" spans="2:4" x14ac:dyDescent="0.35">
      <c r="B122" s="264" t="s">
        <v>654</v>
      </c>
      <c r="C122" s="264" t="s">
        <v>653</v>
      </c>
      <c r="D122" s="264" t="s">
        <v>659</v>
      </c>
    </row>
    <row r="123" spans="2:4" x14ac:dyDescent="0.35">
      <c r="B123" s="264" t="s">
        <v>654</v>
      </c>
      <c r="C123" s="264" t="s">
        <v>653</v>
      </c>
      <c r="D123" s="264" t="s">
        <v>658</v>
      </c>
    </row>
    <row r="124" spans="2:4" x14ac:dyDescent="0.35">
      <c r="B124" s="264" t="s">
        <v>654</v>
      </c>
      <c r="C124" s="264" t="s">
        <v>653</v>
      </c>
      <c r="D124" s="264" t="s">
        <v>657</v>
      </c>
    </row>
    <row r="125" spans="2:4" x14ac:dyDescent="0.35">
      <c r="B125" s="264" t="s">
        <v>654</v>
      </c>
      <c r="C125" s="264" t="s">
        <v>653</v>
      </c>
      <c r="D125" s="264" t="s">
        <v>656</v>
      </c>
    </row>
    <row r="126" spans="2:4" x14ac:dyDescent="0.35">
      <c r="B126" s="264" t="s">
        <v>654</v>
      </c>
      <c r="C126" s="264" t="s">
        <v>653</v>
      </c>
      <c r="D126" s="264" t="s">
        <v>655</v>
      </c>
    </row>
    <row r="127" spans="2:4" x14ac:dyDescent="0.35">
      <c r="B127" s="264" t="s">
        <v>654</v>
      </c>
      <c r="C127" s="264" t="s">
        <v>653</v>
      </c>
      <c r="D127" s="264" t="s">
        <v>652</v>
      </c>
    </row>
    <row r="139" spans="2:3" x14ac:dyDescent="0.35">
      <c r="B139" s="217" t="s">
        <v>328</v>
      </c>
      <c r="C139" s="217" t="s">
        <v>528</v>
      </c>
    </row>
    <row r="140" spans="2:3" x14ac:dyDescent="0.35">
      <c r="B140" s="213" t="s">
        <v>482</v>
      </c>
      <c r="C140" s="42" t="s">
        <v>437</v>
      </c>
    </row>
    <row r="141" spans="2:3" x14ac:dyDescent="0.35">
      <c r="B141" s="38" t="s">
        <v>483</v>
      </c>
      <c r="C141" s="34" t="s">
        <v>438</v>
      </c>
    </row>
    <row r="142" spans="2:3" x14ac:dyDescent="0.35">
      <c r="B142" s="38" t="s">
        <v>329</v>
      </c>
      <c r="C142" s="34" t="s">
        <v>449</v>
      </c>
    </row>
    <row r="143" spans="2:3" x14ac:dyDescent="0.35">
      <c r="B143" s="38" t="s">
        <v>330</v>
      </c>
      <c r="C143" s="34" t="s">
        <v>462</v>
      </c>
    </row>
    <row r="144" spans="2:3" x14ac:dyDescent="0.35">
      <c r="B144" s="38" t="s">
        <v>484</v>
      </c>
      <c r="C144" s="34" t="s">
        <v>439</v>
      </c>
    </row>
    <row r="145" spans="2:3" x14ac:dyDescent="0.35">
      <c r="B145" s="38" t="s">
        <v>494</v>
      </c>
      <c r="C145" s="34" t="s">
        <v>450</v>
      </c>
    </row>
    <row r="146" spans="2:3" x14ac:dyDescent="0.35">
      <c r="B146" s="38" t="s">
        <v>506</v>
      </c>
      <c r="C146" s="34" t="s">
        <v>463</v>
      </c>
    </row>
    <row r="147" spans="2:3" x14ac:dyDescent="0.35">
      <c r="B147" s="38" t="s">
        <v>485</v>
      </c>
      <c r="C147" s="34" t="s">
        <v>440</v>
      </c>
    </row>
    <row r="148" spans="2:3" x14ac:dyDescent="0.35">
      <c r="B148" s="38" t="s">
        <v>495</v>
      </c>
      <c r="C148" s="34" t="s">
        <v>451</v>
      </c>
    </row>
    <row r="149" spans="2:3" x14ac:dyDescent="0.35">
      <c r="B149" s="38" t="s">
        <v>507</v>
      </c>
      <c r="C149" s="34" t="s">
        <v>464</v>
      </c>
    </row>
    <row r="150" spans="2:3" x14ac:dyDescent="0.35">
      <c r="B150" s="38" t="s">
        <v>486</v>
      </c>
      <c r="C150" s="34" t="s">
        <v>441</v>
      </c>
    </row>
    <row r="151" spans="2:3" x14ac:dyDescent="0.35">
      <c r="B151" s="38" t="s">
        <v>496</v>
      </c>
      <c r="C151" s="34" t="s">
        <v>452</v>
      </c>
    </row>
    <row r="152" spans="2:3" x14ac:dyDescent="0.35">
      <c r="B152" s="38" t="s">
        <v>508</v>
      </c>
      <c r="C152" s="34" t="s">
        <v>465</v>
      </c>
    </row>
    <row r="153" spans="2:3" x14ac:dyDescent="0.35">
      <c r="B153" s="38" t="s">
        <v>487</v>
      </c>
      <c r="C153" s="34" t="s">
        <v>442</v>
      </c>
    </row>
    <row r="154" spans="2:3" x14ac:dyDescent="0.35">
      <c r="B154" s="38" t="s">
        <v>497</v>
      </c>
      <c r="C154" s="34" t="s">
        <v>453</v>
      </c>
    </row>
    <row r="155" spans="2:3" x14ac:dyDescent="0.35">
      <c r="B155" s="38" t="s">
        <v>509</v>
      </c>
      <c r="C155" s="34" t="s">
        <v>466</v>
      </c>
    </row>
    <row r="156" spans="2:3" x14ac:dyDescent="0.35">
      <c r="B156" s="38" t="s">
        <v>488</v>
      </c>
      <c r="C156" s="34" t="s">
        <v>443</v>
      </c>
    </row>
    <row r="157" spans="2:3" x14ac:dyDescent="0.35">
      <c r="B157" s="38" t="s">
        <v>498</v>
      </c>
      <c r="C157" s="34" t="s">
        <v>454</v>
      </c>
    </row>
    <row r="158" spans="2:3" x14ac:dyDescent="0.35">
      <c r="B158" s="38" t="s">
        <v>510</v>
      </c>
      <c r="C158" s="34" t="s">
        <v>467</v>
      </c>
    </row>
    <row r="159" spans="2:3" x14ac:dyDescent="0.35">
      <c r="B159" s="38" t="s">
        <v>489</v>
      </c>
      <c r="C159" s="34" t="s">
        <v>444</v>
      </c>
    </row>
    <row r="160" spans="2:3" x14ac:dyDescent="0.35">
      <c r="B160" s="38" t="s">
        <v>499</v>
      </c>
      <c r="C160" s="34" t="s">
        <v>455</v>
      </c>
    </row>
    <row r="161" spans="2:3" x14ac:dyDescent="0.35">
      <c r="B161" s="38" t="s">
        <v>511</v>
      </c>
      <c r="C161" s="34" t="s">
        <v>468</v>
      </c>
    </row>
    <row r="162" spans="2:3" x14ac:dyDescent="0.35">
      <c r="B162" s="38" t="s">
        <v>490</v>
      </c>
      <c r="C162" s="34" t="s">
        <v>445</v>
      </c>
    </row>
    <row r="163" spans="2:3" x14ac:dyDescent="0.35">
      <c r="B163" s="38" t="s">
        <v>500</v>
      </c>
      <c r="C163" s="34" t="s">
        <v>456</v>
      </c>
    </row>
    <row r="164" spans="2:3" x14ac:dyDescent="0.35">
      <c r="B164" s="38" t="s">
        <v>512</v>
      </c>
      <c r="C164" s="34" t="s">
        <v>469</v>
      </c>
    </row>
    <row r="165" spans="2:3" x14ac:dyDescent="0.35">
      <c r="B165" s="38" t="s">
        <v>491</v>
      </c>
      <c r="C165" s="34" t="s">
        <v>446</v>
      </c>
    </row>
    <row r="166" spans="2:3" x14ac:dyDescent="0.35">
      <c r="B166" s="38" t="s">
        <v>501</v>
      </c>
      <c r="C166" s="34" t="s">
        <v>457</v>
      </c>
    </row>
    <row r="167" spans="2:3" x14ac:dyDescent="0.35">
      <c r="B167" s="38" t="s">
        <v>513</v>
      </c>
      <c r="C167" s="34" t="s">
        <v>470</v>
      </c>
    </row>
    <row r="168" spans="2:3" x14ac:dyDescent="0.35">
      <c r="B168" s="38" t="s">
        <v>492</v>
      </c>
      <c r="C168" s="34" t="s">
        <v>447</v>
      </c>
    </row>
    <row r="169" spans="2:3" x14ac:dyDescent="0.35">
      <c r="B169" s="38" t="s">
        <v>502</v>
      </c>
      <c r="C169" s="34" t="s">
        <v>458</v>
      </c>
    </row>
    <row r="170" spans="2:3" x14ac:dyDescent="0.35">
      <c r="B170" s="38" t="s">
        <v>514</v>
      </c>
      <c r="C170" s="34" t="s">
        <v>471</v>
      </c>
    </row>
    <row r="171" spans="2:3" x14ac:dyDescent="0.35">
      <c r="B171" s="38" t="s">
        <v>493</v>
      </c>
      <c r="C171" s="34" t="s">
        <v>448</v>
      </c>
    </row>
    <row r="172" spans="2:3" x14ac:dyDescent="0.35">
      <c r="B172" s="38" t="s">
        <v>503</v>
      </c>
      <c r="C172" s="34" t="s">
        <v>459</v>
      </c>
    </row>
    <row r="173" spans="2:3" x14ac:dyDescent="0.35">
      <c r="B173" s="38" t="s">
        <v>515</v>
      </c>
      <c r="C173" s="34" t="s">
        <v>472</v>
      </c>
    </row>
    <row r="174" spans="2:3" x14ac:dyDescent="0.35">
      <c r="B174" s="38" t="s">
        <v>504</v>
      </c>
      <c r="C174" s="34" t="s">
        <v>460</v>
      </c>
    </row>
    <row r="175" spans="2:3" x14ac:dyDescent="0.35">
      <c r="B175" s="38" t="s">
        <v>505</v>
      </c>
      <c r="C175" s="34" t="s">
        <v>461</v>
      </c>
    </row>
    <row r="176" spans="2:3" x14ac:dyDescent="0.35">
      <c r="B176" s="38" t="s">
        <v>546</v>
      </c>
      <c r="C176" s="34" t="s">
        <v>569</v>
      </c>
    </row>
    <row r="177" spans="2:3" x14ac:dyDescent="0.35">
      <c r="B177" s="38" t="s">
        <v>547</v>
      </c>
      <c r="C177" s="34" t="s">
        <v>570</v>
      </c>
    </row>
    <row r="178" spans="2:3" x14ac:dyDescent="0.35">
      <c r="B178" s="38" t="s">
        <v>550</v>
      </c>
      <c r="C178" s="34" t="s">
        <v>571</v>
      </c>
    </row>
    <row r="179" spans="2:3" x14ac:dyDescent="0.35">
      <c r="B179" s="38" t="s">
        <v>548</v>
      </c>
      <c r="C179" s="34" t="s">
        <v>572</v>
      </c>
    </row>
    <row r="180" spans="2:3" x14ac:dyDescent="0.35">
      <c r="B180" s="38" t="s">
        <v>549</v>
      </c>
      <c r="C180" s="34" t="s">
        <v>573</v>
      </c>
    </row>
    <row r="181" spans="2:3" x14ac:dyDescent="0.35">
      <c r="B181" s="38" t="s">
        <v>551</v>
      </c>
      <c r="C181" s="34" t="s">
        <v>574</v>
      </c>
    </row>
    <row r="182" spans="2:3" x14ac:dyDescent="0.35">
      <c r="B182" s="38" t="s">
        <v>553</v>
      </c>
      <c r="C182" s="34" t="s">
        <v>575</v>
      </c>
    </row>
    <row r="183" spans="2:3" x14ac:dyDescent="0.35">
      <c r="B183" s="38" t="s">
        <v>558</v>
      </c>
      <c r="C183" s="34" t="s">
        <v>576</v>
      </c>
    </row>
    <row r="184" spans="2:3" x14ac:dyDescent="0.35">
      <c r="B184" s="38" t="s">
        <v>559</v>
      </c>
      <c r="C184" s="34" t="s">
        <v>577</v>
      </c>
    </row>
    <row r="185" spans="2:3" x14ac:dyDescent="0.35">
      <c r="B185" s="38" t="s">
        <v>516</v>
      </c>
      <c r="C185" s="34" t="s">
        <v>566</v>
      </c>
    </row>
    <row r="186" spans="2:3" x14ac:dyDescent="0.35">
      <c r="B186" s="38" t="s">
        <v>413</v>
      </c>
      <c r="C186" s="34" t="s">
        <v>567</v>
      </c>
    </row>
    <row r="187" spans="2:3" x14ac:dyDescent="0.35">
      <c r="B187" s="38" t="s">
        <v>414</v>
      </c>
      <c r="C187" s="34" t="s">
        <v>568</v>
      </c>
    </row>
    <row r="188" spans="2:3" x14ac:dyDescent="0.35">
      <c r="B188" s="38" t="s">
        <v>517</v>
      </c>
      <c r="C188" s="34" t="s">
        <v>473</v>
      </c>
    </row>
    <row r="189" spans="2:3" x14ac:dyDescent="0.35">
      <c r="B189" s="38" t="s">
        <v>525</v>
      </c>
      <c r="C189" s="34" t="s">
        <v>480</v>
      </c>
    </row>
    <row r="190" spans="2:3" x14ac:dyDescent="0.35">
      <c r="B190" s="38" t="s">
        <v>518</v>
      </c>
      <c r="C190" s="34" t="s">
        <v>474</v>
      </c>
    </row>
    <row r="191" spans="2:3" x14ac:dyDescent="0.35">
      <c r="B191" s="38" t="s">
        <v>526</v>
      </c>
      <c r="C191" s="34" t="s">
        <v>481</v>
      </c>
    </row>
    <row r="192" spans="2:3" x14ac:dyDescent="0.35">
      <c r="B192" s="38" t="s">
        <v>519</v>
      </c>
      <c r="C192" s="34" t="s">
        <v>540</v>
      </c>
    </row>
    <row r="193" spans="2:3" x14ac:dyDescent="0.35">
      <c r="B193" s="38" t="s">
        <v>520</v>
      </c>
      <c r="C193" s="34" t="s">
        <v>541</v>
      </c>
    </row>
    <row r="194" spans="2:3" x14ac:dyDescent="0.35">
      <c r="B194" s="38" t="s">
        <v>521</v>
      </c>
      <c r="C194" s="34" t="s">
        <v>475</v>
      </c>
    </row>
    <row r="195" spans="2:3" x14ac:dyDescent="0.35">
      <c r="B195" s="38" t="s">
        <v>522</v>
      </c>
      <c r="C195" s="34" t="s">
        <v>476</v>
      </c>
    </row>
    <row r="196" spans="2:3" x14ac:dyDescent="0.35">
      <c r="B196" s="38" t="s">
        <v>523</v>
      </c>
      <c r="C196" s="34" t="s">
        <v>477</v>
      </c>
    </row>
    <row r="197" spans="2:3" x14ac:dyDescent="0.35">
      <c r="B197" s="38" t="s">
        <v>524</v>
      </c>
      <c r="C197" s="34" t="s">
        <v>478</v>
      </c>
    </row>
    <row r="198" spans="2:3" x14ac:dyDescent="0.35">
      <c r="B198" s="36" t="s">
        <v>422</v>
      </c>
      <c r="C198" s="32" t="s">
        <v>479</v>
      </c>
    </row>
  </sheetData>
  <phoneticPr fontId="107" type="noConversion"/>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FF0000"/>
    <pageSetUpPr fitToPage="1"/>
  </sheetPr>
  <dimension ref="A1:AN48"/>
  <sheetViews>
    <sheetView showGridLines="0" zoomScale="90" zoomScaleNormal="90" workbookViewId="0">
      <selection activeCell="R9" sqref="R9"/>
    </sheetView>
  </sheetViews>
  <sheetFormatPr defaultColWidth="0" defaultRowHeight="0" customHeight="1" zeroHeight="1" x14ac:dyDescent="0.3"/>
  <cols>
    <col min="1" max="1" width="3.54296875" style="54" customWidth="1"/>
    <col min="2" max="2" width="3.453125" style="54" customWidth="1"/>
    <col min="3" max="3" width="23.81640625" style="59" customWidth="1"/>
    <col min="4" max="4" width="19.81640625" style="54" customWidth="1"/>
    <col min="5" max="5" width="14.54296875" style="54" customWidth="1"/>
    <col min="6" max="6" width="58.54296875" style="54" customWidth="1"/>
    <col min="7" max="7" width="3.54296875" style="54" customWidth="1"/>
    <col min="8" max="8" width="8" style="54" bestFit="1" customWidth="1"/>
    <col min="9" max="14" width="13.453125" style="54" customWidth="1"/>
    <col min="15" max="15" width="3.54296875" style="54" customWidth="1"/>
    <col min="16" max="16" width="10.453125" style="54" customWidth="1"/>
    <col min="17" max="21" width="13.453125" style="54" customWidth="1"/>
    <col min="22" max="22" width="13.453125" style="55" customWidth="1"/>
    <col min="23" max="23" width="3.54296875" style="54" customWidth="1"/>
    <col min="24" max="24" width="19.54296875" style="54" customWidth="1"/>
    <col min="25" max="29" width="13.453125" style="54" customWidth="1"/>
    <col min="30" max="30" width="13.453125" style="55" customWidth="1"/>
    <col min="31" max="31" width="3.54296875" style="55" customWidth="1"/>
    <col min="32" max="32" width="0" style="55" hidden="1" customWidth="1"/>
    <col min="33" max="40" width="0" style="54" hidden="1" customWidth="1"/>
    <col min="41" max="16384" width="9.1796875" style="54" hidden="1"/>
  </cols>
  <sheetData>
    <row r="1" spans="2:32" s="5" customFormat="1" ht="30" customHeight="1" x14ac:dyDescent="0.3">
      <c r="B1" s="1170" t="s">
        <v>220</v>
      </c>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row>
    <row r="2" spans="2:32" s="82" customFormat="1" ht="30" customHeight="1" x14ac:dyDescent="0.3">
      <c r="B2" s="1171" t="s">
        <v>226</v>
      </c>
      <c r="C2" s="1171"/>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row>
    <row r="3" spans="2:32" s="80" customFormat="1" ht="16.5" customHeight="1" thickBot="1" x14ac:dyDescent="0.4">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row>
    <row r="4" spans="2:32" s="78" customFormat="1" ht="42" customHeight="1" thickBot="1" x14ac:dyDescent="0.45">
      <c r="C4" s="1179" t="s">
        <v>120</v>
      </c>
      <c r="D4" s="1180"/>
      <c r="E4" s="1180"/>
      <c r="F4" s="1181"/>
      <c r="G4" s="79"/>
      <c r="H4" s="1179" t="s">
        <v>170</v>
      </c>
      <c r="I4" s="1180"/>
      <c r="J4" s="1180"/>
      <c r="K4" s="1180"/>
      <c r="L4" s="1180"/>
      <c r="M4" s="1180"/>
      <c r="N4" s="1181"/>
      <c r="O4" s="79"/>
      <c r="P4" s="79"/>
      <c r="Q4" s="1176" t="s">
        <v>219</v>
      </c>
      <c r="R4" s="1177"/>
      <c r="S4" s="1177"/>
      <c r="T4" s="1177"/>
      <c r="U4" s="1177"/>
      <c r="V4" s="1177"/>
      <c r="W4" s="1177"/>
      <c r="X4" s="1177"/>
      <c r="Y4" s="1177"/>
      <c r="Z4" s="1177"/>
      <c r="AA4" s="1177"/>
      <c r="AB4" s="1177"/>
      <c r="AC4" s="1177"/>
      <c r="AD4" s="1178"/>
      <c r="AE4" s="73"/>
      <c r="AF4" s="73"/>
    </row>
    <row r="5" spans="2:32" s="78" customFormat="1" ht="18.5" thickBot="1" x14ac:dyDescent="0.45">
      <c r="C5" s="1186"/>
      <c r="D5" s="1187"/>
      <c r="E5" s="1188"/>
      <c r="F5" s="123"/>
      <c r="G5" s="79"/>
      <c r="H5" s="1173"/>
      <c r="I5" s="1174"/>
      <c r="J5" s="1174"/>
      <c r="K5" s="1174"/>
      <c r="L5" s="1174"/>
      <c r="M5" s="1174"/>
      <c r="N5" s="1175"/>
      <c r="O5" s="79"/>
      <c r="P5" s="79"/>
      <c r="Q5" s="1198" t="s">
        <v>122</v>
      </c>
      <c r="R5" s="1199"/>
      <c r="S5" s="1199"/>
      <c r="T5" s="1199"/>
      <c r="U5" s="1199"/>
      <c r="V5" s="1200"/>
      <c r="W5" s="79"/>
      <c r="X5" s="79"/>
      <c r="Y5" s="1198" t="s">
        <v>121</v>
      </c>
      <c r="Z5" s="1199"/>
      <c r="AA5" s="1199"/>
      <c r="AB5" s="1199"/>
      <c r="AC5" s="1199"/>
      <c r="AD5" s="1200"/>
      <c r="AE5" s="73"/>
      <c r="AF5" s="73"/>
    </row>
    <row r="6" spans="2:32" s="56" customFormat="1" ht="28.5" thickBot="1" x14ac:dyDescent="0.4">
      <c r="C6" s="112" t="s">
        <v>9</v>
      </c>
      <c r="D6" s="113" t="s">
        <v>24</v>
      </c>
      <c r="E6" s="114" t="s">
        <v>10</v>
      </c>
      <c r="F6" s="107" t="s">
        <v>32</v>
      </c>
      <c r="G6" s="77"/>
      <c r="H6" s="145" t="s">
        <v>328</v>
      </c>
      <c r="I6" s="136" t="s">
        <v>28</v>
      </c>
      <c r="J6" s="113" t="s">
        <v>228</v>
      </c>
      <c r="K6" s="113" t="s">
        <v>227</v>
      </c>
      <c r="L6" s="113" t="s">
        <v>229</v>
      </c>
      <c r="M6" s="113" t="s">
        <v>230</v>
      </c>
      <c r="N6" s="114" t="s">
        <v>29</v>
      </c>
      <c r="O6" s="77"/>
      <c r="P6" s="145" t="s">
        <v>328</v>
      </c>
      <c r="Q6" s="112" t="s">
        <v>28</v>
      </c>
      <c r="R6" s="113" t="s">
        <v>228</v>
      </c>
      <c r="S6" s="113" t="s">
        <v>227</v>
      </c>
      <c r="T6" s="113" t="s">
        <v>229</v>
      </c>
      <c r="U6" s="113" t="s">
        <v>230</v>
      </c>
      <c r="V6" s="114" t="s">
        <v>29</v>
      </c>
      <c r="W6" s="77"/>
      <c r="X6" s="145" t="s">
        <v>328</v>
      </c>
      <c r="Y6" s="112" t="s">
        <v>28</v>
      </c>
      <c r="Z6" s="113" t="s">
        <v>228</v>
      </c>
      <c r="AA6" s="113" t="s">
        <v>227</v>
      </c>
      <c r="AB6" s="113" t="s">
        <v>229</v>
      </c>
      <c r="AC6" s="113" t="s">
        <v>230</v>
      </c>
      <c r="AD6" s="114" t="s">
        <v>29</v>
      </c>
    </row>
    <row r="7" spans="2:32" s="56" customFormat="1" ht="14.5" thickBot="1" x14ac:dyDescent="0.4">
      <c r="C7" s="104" t="s">
        <v>48</v>
      </c>
      <c r="D7" s="105" t="s">
        <v>177</v>
      </c>
      <c r="E7" s="115" t="s">
        <v>172</v>
      </c>
      <c r="F7" s="108" t="str">
        <f>C7&amp;" "&amp;D7&amp;" "&amp;E7</f>
        <v>Room Air Conditioners &lt; 2.5 Tons All Types</v>
      </c>
      <c r="G7" s="71"/>
      <c r="H7" s="141" t="s">
        <v>335</v>
      </c>
      <c r="I7" s="137" t="str">
        <f>IF(SUMIF(Calculations!$BQ$7:$BQ$31,$F7&amp;" Tier 0",Calculations!$J$7:$J$31)=0,"",SUMIF(Calculations!$BQ$7:$BQ$31,$F7&amp;" Tier 0",Calculations!$J$7:$J$31))</f>
        <v/>
      </c>
      <c r="J7" s="93" t="e">
        <f>IF(SUMIF(Calculations!$BQ$7:$BQ$31,$F7&amp;" Tier 0",Calculations!#REF!)=0,"",ROUND(SUMIF(Calculations!$BQ$7:$BQ$31,$F7&amp;" Tier 0",Calculations!#REF!)/I7,3))</f>
        <v>#REF!</v>
      </c>
      <c r="K7" s="106" t="e">
        <f>IF(SUMIF(Calculations!$BQ$7:$BQ$31,$F7&amp;" Tier 0",Calculations!#REF!)=0,"",ROUND(SUMIF(Calculations!$BQ$7:$BQ$31,$F7&amp;" Tier 0",Calculations!#REF!)/I7,1))</f>
        <v>#REF!</v>
      </c>
      <c r="L7" s="93" t="e">
        <f>IF(SUMIF(Calculations!$BQ$7:$BQ$31,$F7&amp;" Tier 0",Calculations!#REF!)=0,"",ROUND(SUMIF(Calculations!$BQ$7:$BQ$31,$F7&amp;" Tier 0",Calculations!#REF!),3))</f>
        <v>#REF!</v>
      </c>
      <c r="M7" s="106" t="e">
        <f>IF(SUMIF(Calculations!$BQ$7:$BQ$31,$F7&amp;" Tier 0",Calculations!#REF!)=0,"",ROUND(SUMIF(Calculations!$BQ$7:$BQ$31,$F7&amp;" Tier 0",Calculations!#REF!),1))</f>
        <v>#REF!</v>
      </c>
      <c r="N7" s="91" t="e">
        <f>IF(SUMIF(Calculations!$BQ$7:$BQ$31,$F7&amp;" Tier 0",Calculations!#REF!)=0,"",SUMIF(Calculations!$BQ$7:$BQ$31,$F7&amp;" Tier 0",Calculations!#REF!))</f>
        <v>#REF!</v>
      </c>
      <c r="O7" s="71"/>
      <c r="P7" s="199"/>
      <c r="Q7" s="206" t="str">
        <f>IF(SUMIF(Calculations!$BQ$7:$BQ$31,$F7&amp;" Tier 1",Calculations!$J$7:$J$31)=0,"",SUMIF(Calculations!$BQ$7:$BQ$31,$F7&amp;" Tier 1",Calculations!$J$7:$J$31))</f>
        <v/>
      </c>
      <c r="R7" s="207" t="e">
        <f>IF(SUMIF(Calculations!$BQ$7:$BQ$31,$F7&amp;" Tier 1",Calculations!#REF!)=0,"",ROUND(SUMIF(Calculations!$BQ$7:$BQ$31,$F7&amp;" Tier 1",Calculations!#REF!)/Q7,3))</f>
        <v>#REF!</v>
      </c>
      <c r="S7" s="208" t="e">
        <f>IF(SUMIF(Calculations!$BQ$7:$BQ$31,$F7&amp;" Tier 1",Calculations!#REF!)=0,"",ROUND(SUMIF(Calculations!$BQ$7:$BQ$31,$F7&amp;" Tier 1",Calculations!#REF!)/Q7,1))</f>
        <v>#REF!</v>
      </c>
      <c r="T7" s="207" t="e">
        <f>IF(SUMIF(Calculations!$BQ$7:$BQ$31,$F7&amp;" Tier 1",Calculations!#REF!)=0,"",ROUND(SUMIF(Calculations!$BQ$7:$BQ$31,$F7&amp;" Tier 1",Calculations!#REF!),3))</f>
        <v>#REF!</v>
      </c>
      <c r="U7" s="208" t="e">
        <f>IF(SUMIF(Calculations!$BQ$7:$BQ$31,$F7&amp;" Tier 1",Calculations!#REF!)=0,"",ROUND(SUMIF(Calculations!$BQ$7:$BQ$31,$F7&amp;" Tier 1",Calculations!#REF!),1))</f>
        <v>#REF!</v>
      </c>
      <c r="V7" s="209" t="e">
        <f>IF(SUMIF(Calculations!$BQ$7:$BQ$31,$F7&amp;" Tier 1",Calculations!#REF!)=0,"",SUMIF(Calculations!$BQ$7:$BQ$31,$F7&amp;" Tier 1",Calculations!#REF!))</f>
        <v>#REF!</v>
      </c>
      <c r="W7" s="71"/>
      <c r="X7" s="199"/>
      <c r="Y7" s="206" t="str">
        <f>IF(SUMIF(Calculations!$BQ$7:$BQ$31,$F7&amp;" Tier 2",Calculations!$J$7:$J$31)=0,"",SUMIF(Calculations!$BQ$7:$BQ$31,$F7&amp;" Tier 2",Calculations!$J$7:$J$31))</f>
        <v/>
      </c>
      <c r="Z7" s="207" t="e">
        <f>IF(SUMIF(Calculations!$BQ$7:$BQ$31,$F7&amp;" Tier 2",Calculations!#REF!)=0,"",ROUND(SUMIF(Calculations!$BQ$7:$BQ$31,$F7&amp;" Tier 2",Calculations!#REF!)/Y7,3))</f>
        <v>#REF!</v>
      </c>
      <c r="AA7" s="208" t="e">
        <f>IF(SUMIF(Calculations!$BQ$7:$BQ$31,$F7&amp;" Tier 2",Calculations!#REF!)=0,"",ROUND(SUMIF(Calculations!$BQ$7:$BQ$31,$F7&amp;" Tier 2",Calculations!#REF!)/Y7,1))</f>
        <v>#REF!</v>
      </c>
      <c r="AB7" s="207" t="e">
        <f>IF(SUMIF(Calculations!$BQ$7:$BQ$31,$F7&amp;" Tier 2",Calculations!#REF!)=0,"",ROUND(SUMIF(Calculations!$BQ$7:$BQ$31,$F7&amp;" Tier 2",Calculations!#REF!),3))</f>
        <v>#REF!</v>
      </c>
      <c r="AC7" s="208" t="e">
        <f>IF(SUMIF(Calculations!$BQ$7:$BQ$31,$F7&amp;" Tier 2",Calculations!#REF!)=0,"",ROUND(SUMIF(Calculations!$BQ$7:$BQ$31,$F7&amp;" Tier 2",Calculations!#REF!),1))</f>
        <v>#REF!</v>
      </c>
      <c r="AD7" s="209" t="e">
        <f>IF(SUMIF(Calculations!$BQ$7:$BQ$31,$F7&amp;" Tier 2",Calculations!#REF!)=0,"",SUMIF(Calculations!$BQ$7:$BQ$31,$F7&amp;" Tier 2",Calculations!#REF!))</f>
        <v>#REF!</v>
      </c>
    </row>
    <row r="8" spans="2:32" s="56" customFormat="1" ht="14.5" thickBot="1" x14ac:dyDescent="0.4">
      <c r="C8" s="104" t="s">
        <v>173</v>
      </c>
      <c r="D8" s="105" t="s">
        <v>90</v>
      </c>
      <c r="E8" s="115" t="s">
        <v>172</v>
      </c>
      <c r="F8" s="108" t="str">
        <f>C8&amp;" "&amp;D8&amp;" "&amp;E8</f>
        <v>Ductless Mini-Split AC &lt; 5.4 Tons All Types</v>
      </c>
      <c r="G8" s="71"/>
      <c r="H8" s="141" t="s">
        <v>329</v>
      </c>
      <c r="I8" s="137" t="str">
        <f>IF(SUMIF(Calculations!$BQ$7:$BQ$31,$F8&amp;" Tier 0",Calculations!$J$7:$J$31)=0,"",SUMIF(Calculations!$BQ$7:$BQ$31,$F8&amp;" Tier 0",Calculations!$J$7:$J$31))</f>
        <v/>
      </c>
      <c r="J8" s="93" t="e">
        <f>IF(SUMIF(Calculations!$BQ$7:$BQ$31,$F8&amp;" Tier 0",Calculations!#REF!)=0,"",ROUND(SUMIF(Calculations!$BQ$7:$BQ$31,$F8&amp;" Tier 0",Calculations!#REF!)/I8,3))</f>
        <v>#REF!</v>
      </c>
      <c r="K8" s="106" t="e">
        <f>IF(SUMIF(Calculations!$BQ$7:$BQ$31,$F8&amp;" Tier 0",Calculations!#REF!)=0,"",ROUND(SUMIF(Calculations!$BQ$7:$BQ$31,$F8&amp;" Tier 0",Calculations!#REF!)/I8,1))</f>
        <v>#REF!</v>
      </c>
      <c r="L8" s="93" t="e">
        <f>IF(SUMIF(Calculations!$BQ$7:$BQ$31,$F8&amp;" Tier 0",Calculations!#REF!)=0,"",ROUND(SUMIF(Calculations!$BQ$7:$BQ$31,$F8&amp;" Tier 0",Calculations!#REF!),3))</f>
        <v>#REF!</v>
      </c>
      <c r="M8" s="106" t="e">
        <f>IF(SUMIF(Calculations!$BQ$7:$BQ$31,$F8&amp;" Tier 0",Calculations!#REF!)=0,"",ROUND(SUMIF(Calculations!$BQ$7:$BQ$31,$F8&amp;" Tier 0",Calculations!#REF!),1))</f>
        <v>#REF!</v>
      </c>
      <c r="N8" s="91" t="e">
        <f>IF(SUMIF(Calculations!$BQ$7:$BQ$31,$F8&amp;" Tier 0",Calculations!#REF!)=0,"",SUMIF(Calculations!$BQ$7:$BQ$31,$F8&amp;" Tier 0",Calculations!#REF!))</f>
        <v>#REF!</v>
      </c>
      <c r="O8" s="71"/>
      <c r="P8" s="141" t="s">
        <v>330</v>
      </c>
      <c r="Q8" s="119" t="str">
        <f>IF(SUMIF(Calculations!$BQ$7:$BQ$31,$F8&amp;" Tier 1",Calculations!$J$7:$J$31)=0,"",SUMIF(Calculations!$BQ$7:$BQ$31,$F8&amp;" Tier 1",Calculations!$J$7:$J$31))</f>
        <v/>
      </c>
      <c r="R8" s="93" t="e">
        <f>IF(SUMIF(Calculations!$BQ$7:$BQ$31,$F8&amp;" Tier 1",Calculations!#REF!)=0,"",ROUND(SUMIF(Calculations!$BQ$7:$BQ$31,$F8&amp;" Tier 1",Calculations!#REF!)/Q8,3))</f>
        <v>#REF!</v>
      </c>
      <c r="S8" s="106" t="e">
        <f>IF(SUMIF(Calculations!$BQ$7:$BQ$31,$F8&amp;" Tier 1",Calculations!#REF!)=0,"",ROUND(SUMIF(Calculations!$BQ$7:$BQ$31,$F8&amp;" Tier 1",Calculations!#REF!)/Q8,1))</f>
        <v>#REF!</v>
      </c>
      <c r="T8" s="93" t="e">
        <f>IF(SUMIF(Calculations!$BQ$7:$BQ$31,$F8&amp;" Tier 1",Calculations!#REF!)=0,"",ROUND(SUMIF(Calculations!$BQ$7:$BQ$31,$F8&amp;" Tier 1",Calculations!#REF!),3))</f>
        <v>#REF!</v>
      </c>
      <c r="U8" s="106" t="e">
        <f>IF(SUMIF(Calculations!$BQ$7:$BQ$31,$F8&amp;" Tier 1",Calculations!#REF!)=0,"",ROUND(SUMIF(Calculations!$BQ$7:$BQ$31,$F8&amp;" Tier 1",Calculations!#REF!),1))</f>
        <v>#REF!</v>
      </c>
      <c r="V8" s="91" t="e">
        <f>IF(SUMIF(Calculations!$BQ$7:$BQ$31,$F8&amp;" Tier 1",Calculations!#REF!)=0,"",SUMIF(Calculations!$BQ$7:$BQ$31,$F8&amp;" Tier 1",Calculations!#REF!))</f>
        <v>#REF!</v>
      </c>
      <c r="W8" s="71"/>
      <c r="X8" s="141" t="s">
        <v>402</v>
      </c>
      <c r="Y8" s="119" t="str">
        <f>IF(SUMIF(Calculations!$BQ$7:$BQ$31,$F8&amp;" Tier 2",Calculations!$J$7:$J$31)=0,"",SUMIF(Calculations!$BQ$7:$BQ$31,$F8&amp;" Tier 2",Calculations!$J$7:$J$31))</f>
        <v/>
      </c>
      <c r="Z8" s="93" t="e">
        <f>IF(SUMIF(Calculations!$BQ$7:$BQ$31,$F8&amp;" Tier 2",Calculations!#REF!)=0,"",ROUND(SUMIF(Calculations!$BQ$7:$BQ$31,$F8&amp;" Tier 2",Calculations!#REF!)/Y8,3))</f>
        <v>#REF!</v>
      </c>
      <c r="AA8" s="106" t="e">
        <f>IF(SUMIF(Calculations!$BQ$7:$BQ$31,$F8&amp;" Tier 2",Calculations!#REF!)=0,"",ROUND(SUMIF(Calculations!$BQ$7:$BQ$31,$F8&amp;" Tier 2",Calculations!#REF!)/Y8,1))</f>
        <v>#REF!</v>
      </c>
      <c r="AB8" s="93" t="e">
        <f>IF(SUMIF(Calculations!$BQ$7:$BQ$31,$F8&amp;" Tier 2",Calculations!#REF!)=0,"",ROUND(SUMIF(Calculations!$BQ$7:$BQ$31,$F8&amp;" Tier 2",Calculations!#REF!),3))</f>
        <v>#REF!</v>
      </c>
      <c r="AC8" s="106" t="e">
        <f>IF(SUMIF(Calculations!$BQ$7:$BQ$31,$F8&amp;" Tier 2",Calculations!#REF!)=0,"",ROUND(SUMIF(Calculations!$BQ$7:$BQ$31,$F8&amp;" Tier 2",Calculations!#REF!),1))</f>
        <v>#REF!</v>
      </c>
      <c r="AD8" s="91" t="e">
        <f>IF(SUMIF(Calculations!$BQ$7:$BQ$31,$F8&amp;" Tier 2",Calculations!#REF!)=0,"",SUMIF(Calculations!$BQ$7:$BQ$31,$F8&amp;" Tier 2",Calculations!#REF!))</f>
        <v>#REF!</v>
      </c>
    </row>
    <row r="9" spans="2:32" ht="14.5" thickBot="1" x14ac:dyDescent="0.35">
      <c r="C9" s="1201" t="s">
        <v>91</v>
      </c>
      <c r="D9" s="1196" t="s">
        <v>90</v>
      </c>
      <c r="E9" s="116" t="s">
        <v>11</v>
      </c>
      <c r="F9" s="109" t="str">
        <f>C9&amp;" "&amp;D9&amp;" "&amp;E9</f>
        <v>Air Conditioners - Air Cooled &lt; 5.4 Tons Split System</v>
      </c>
      <c r="G9" s="71"/>
      <c r="H9" s="142" t="s">
        <v>331</v>
      </c>
      <c r="I9" s="138" t="str">
        <f>IF(SUMIF(Calculations!$BQ$7:$BQ$31,$F9&amp;" Tier 0",Calculations!$J$7:$J$31)=0,"",SUMIF(Calculations!$BQ$7:$BQ$31,$F9&amp;" Tier 0",Calculations!$J$7:$J$31))</f>
        <v/>
      </c>
      <c r="J9" s="97" t="e">
        <f>IF(SUMIF(Calculations!$BQ$7:$BQ$31,$F9&amp;" Tier 0",Calculations!#REF!)=0,"",ROUND(SUMIF(Calculations!$BQ$7:$BQ$31,$F9&amp;" Tier 0",Calculations!#REF!)/I9,3))</f>
        <v>#REF!</v>
      </c>
      <c r="K9" s="98" t="e">
        <f>IF(SUMIF(Calculations!$BQ$7:$BQ$31,$F9&amp;" Tier 0",Calculations!#REF!)=0,"",ROUND(SUMIF(Calculations!$BQ$7:$BQ$31,$F9&amp;" Tier 0",Calculations!#REF!)/I9,1))</f>
        <v>#REF!</v>
      </c>
      <c r="L9" s="97" t="e">
        <f>IF(SUMIF(Calculations!$BQ$7:$BQ$31,$F9&amp;" Tier 0",Calculations!#REF!)=0,"",ROUND(SUMIF(Calculations!$BQ$7:$BQ$31,$F9&amp;" Tier 0",Calculations!#REF!),3))</f>
        <v>#REF!</v>
      </c>
      <c r="M9" s="98" t="e">
        <f>IF(SUMIF(Calculations!$BQ$7:$BQ$31,$F9&amp;" Tier 0",Calculations!#REF!)=0,"",ROUND(SUMIF(Calculations!$BQ$7:$BQ$31,$F9&amp;" Tier 0",Calculations!#REF!),1))</f>
        <v>#REF!</v>
      </c>
      <c r="N9" s="99" t="e">
        <f>IF(SUMIF(Calculations!$BQ$7:$BQ$31,$F9&amp;" Tier 0",Calculations!#REF!)=0,"",SUMIF(Calculations!$BQ$7:$BQ$31,$F9&amp;" Tier 0",Calculations!#REF!))</f>
        <v>#REF!</v>
      </c>
      <c r="O9" s="71"/>
      <c r="P9" s="142" t="s">
        <v>332</v>
      </c>
      <c r="Q9" s="120" t="str">
        <f>IF(SUMIF(Calculations!$BQ$7:$BQ$31,$F9&amp;" Tier 1",Calculations!$J$7:$J$31)=0,"",SUMIF(Calculations!$BQ$7:$BQ$31,$F9&amp;" Tier 1",Calculations!$J$7:$J$31))</f>
        <v/>
      </c>
      <c r="R9" s="97" t="e">
        <f>IF(SUMIF(Calculations!$BQ$7:$BQ$31,$F9&amp;" Tier 1",Calculations!#REF!)=0,"",ROUND(SUMIF(Calculations!$BQ$7:$BQ$31,$F9&amp;" Tier 1",Calculations!#REF!)/Q9,3))</f>
        <v>#REF!</v>
      </c>
      <c r="S9" s="98" t="e">
        <f>IF(SUMIF(Calculations!$BQ$7:$BQ$31,$F9&amp;" Tier 1",Calculations!#REF!)=0,"",ROUND(SUMIF(Calculations!$BQ$7:$BQ$31,$F9&amp;" Tier 1",Calculations!#REF!)/Q9,1))</f>
        <v>#REF!</v>
      </c>
      <c r="T9" s="97" t="e">
        <f>IF(SUMIF(Calculations!$BQ$7:$BQ$31,$F9&amp;" Tier 1",Calculations!#REF!)=0,"",ROUND(SUMIF(Calculations!$BQ$7:$BQ$31,$F9&amp;" Tier 1",Calculations!#REF!),3))</f>
        <v>#REF!</v>
      </c>
      <c r="U9" s="98" t="e">
        <f>IF(SUMIF(Calculations!$BQ$7:$BQ$31,$F9&amp;" Tier 1",Calculations!#REF!)=0,"",ROUND(SUMIF(Calculations!$BQ$7:$BQ$31,$F9&amp;" Tier 1",Calculations!#REF!),1))</f>
        <v>#REF!</v>
      </c>
      <c r="V9" s="99" t="e">
        <f>IF(SUMIF(Calculations!$BQ$7:$BQ$31,$F9&amp;" Tier 1",Calculations!#REF!)=0,"",SUMIF(Calculations!$BQ$7:$BQ$31,$F9&amp;" Tier 1",Calculations!#REF!))</f>
        <v>#REF!</v>
      </c>
      <c r="W9" s="71"/>
      <c r="X9" s="142" t="s">
        <v>403</v>
      </c>
      <c r="Y9" s="120" t="str">
        <f>IF(SUMIF(Calculations!$BQ$7:$BQ$31,$F9&amp;" Tier 2",Calculations!$J$7:$J$31)=0,"",SUMIF(Calculations!$BQ$7:$BQ$31,$F9&amp;" Tier 2",Calculations!$J$7:$J$31))</f>
        <v/>
      </c>
      <c r="Z9" s="97" t="e">
        <f>IF(SUMIF(Calculations!$BQ$7:$BQ$31,$F9&amp;" Tier 2",Calculations!#REF!)=0,"",ROUND(SUMIF(Calculations!$BQ$7:$BQ$31,$F9&amp;" Tier 2",Calculations!#REF!)/Y9,3))</f>
        <v>#REF!</v>
      </c>
      <c r="AA9" s="98" t="e">
        <f>IF(SUMIF(Calculations!$BQ$7:$BQ$31,$F9&amp;" Tier 2",Calculations!#REF!)=0,"",ROUND(SUMIF(Calculations!$BQ$7:$BQ$31,$F9&amp;" Tier 2",Calculations!#REF!)/Y9,1))</f>
        <v>#REF!</v>
      </c>
      <c r="AB9" s="97" t="e">
        <f>IF(SUMIF(Calculations!$BQ$7:$BQ$31,$F9&amp;" Tier 2",Calculations!#REF!)=0,"",ROUND(SUMIF(Calculations!$BQ$7:$BQ$31,$F9&amp;" Tier 2",Calculations!#REF!),3))</f>
        <v>#REF!</v>
      </c>
      <c r="AC9" s="98" t="e">
        <f>IF(SUMIF(Calculations!$BQ$7:$BQ$31,$F9&amp;" Tier 2",Calculations!#REF!)=0,"",ROUND(SUMIF(Calculations!$BQ$7:$BQ$31,$F9&amp;" Tier 2",Calculations!#REF!),1))</f>
        <v>#REF!</v>
      </c>
      <c r="AD9" s="99" t="e">
        <f>IF(SUMIF(Calculations!$BQ$7:$BQ$31,$F9&amp;" Tier 2",Calculations!#REF!)=0,"",SUMIF(Calculations!$BQ$7:$BQ$31,$F9&amp;" Tier 2",Calculations!#REF!))</f>
        <v>#REF!</v>
      </c>
      <c r="AE9" s="57"/>
    </row>
    <row r="10" spans="2:32" ht="14.5" thickBot="1" x14ac:dyDescent="0.35">
      <c r="C10" s="1202"/>
      <c r="D10" s="1197"/>
      <c r="E10" s="117" t="s">
        <v>99</v>
      </c>
      <c r="F10" s="110" t="str">
        <f>C9&amp;" "&amp;D9&amp;" "&amp;E10</f>
        <v>Air Conditioners - Air Cooled &lt; 5.4 Tons Single Package</v>
      </c>
      <c r="G10" s="71"/>
      <c r="H10" s="143" t="s">
        <v>333</v>
      </c>
      <c r="I10" s="139" t="str">
        <f>IF(SUMIF(Calculations!$BQ$7:$BQ$31,$F10&amp;" Tier 0",Calculations!$J$7:$J$31)=0,"",SUMIF(Calculations!$BQ$7:$BQ$31,$F10&amp;" Tier 0",Calculations!$J$7:$J$31))</f>
        <v/>
      </c>
      <c r="J10" s="95" t="e">
        <f>IF(SUMIF(Calculations!$BQ$7:$BQ$31,$F10&amp;" Tier 0",Calculations!#REF!)=0,"",ROUND(SUMIF(Calculations!$BQ$7:$BQ$31,$F10&amp;" Tier 0",Calculations!#REF!)/I10,3))</f>
        <v>#REF!</v>
      </c>
      <c r="K10" s="94" t="e">
        <f>IF(SUMIF(Calculations!$BQ$7:$BQ$31,$F10&amp;" Tier 0",Calculations!#REF!)=0,"",ROUND(SUMIF(Calculations!$BQ$7:$BQ$31,$F10&amp;" Tier 0",Calculations!#REF!)/I10,1))</f>
        <v>#REF!</v>
      </c>
      <c r="L10" s="95" t="e">
        <f>IF(SUMIF(Calculations!$BQ$7:$BQ$31,$F10&amp;" Tier 0",Calculations!#REF!)=0,"",ROUND(SUMIF(Calculations!$BQ$7:$BQ$31,$F10&amp;" Tier 0",Calculations!#REF!),3))</f>
        <v>#REF!</v>
      </c>
      <c r="M10" s="94" t="e">
        <f>IF(SUMIF(Calculations!$BQ$7:$BQ$31,$F10&amp;" Tier 0",Calculations!#REF!)=0,"",ROUND(SUMIF(Calculations!$BQ$7:$BQ$31,$F10&amp;" Tier 0",Calculations!#REF!),1))</f>
        <v>#REF!</v>
      </c>
      <c r="N10" s="100" t="e">
        <f>IF(SUMIF(Calculations!$BQ$7:$BQ$31,$F10&amp;" Tier 0",Calculations!#REF!)=0,"",SUMIF(Calculations!$BQ$7:$BQ$31,$F10&amp;" Tier 0",Calculations!#REF!))</f>
        <v>#REF!</v>
      </c>
      <c r="O10" s="71"/>
      <c r="P10" s="141" t="s">
        <v>334</v>
      </c>
      <c r="Q10" s="121" t="str">
        <f>IF(SUMIF(Calculations!$BQ$7:$BQ$31,$F10&amp;" Tier 1",Calculations!$J$7:$J$31)=0,"",SUMIF(Calculations!$BQ$7:$BQ$31,$F10&amp;" Tier 1",Calculations!$J$7:$J$31))</f>
        <v/>
      </c>
      <c r="R10" s="95" t="e">
        <f>IF(SUMIF(Calculations!$BQ$7:$BQ$31,$F10&amp;" Tier 1",Calculations!#REF!)=0,"",ROUND(SUMIF(Calculations!$BQ$7:$BQ$31,$F10&amp;" Tier 1",Calculations!#REF!)/Q10,3))</f>
        <v>#REF!</v>
      </c>
      <c r="S10" s="94" t="e">
        <f>IF(SUMIF(Calculations!$BQ$7:$BQ$31,$F10&amp;" Tier 1",Calculations!#REF!)=0,"",ROUND(SUMIF(Calculations!$BQ$7:$BQ$31,$F10&amp;" Tier 1",Calculations!#REF!)/Q10,1))</f>
        <v>#REF!</v>
      </c>
      <c r="T10" s="95" t="e">
        <f>IF(SUMIF(Calculations!$BQ$7:$BQ$31,$F10&amp;" Tier 1",Calculations!#REF!)=0,"",ROUND(SUMIF(Calculations!$BQ$7:$BQ$31,$F10&amp;" Tier 1",Calculations!#REF!),3))</f>
        <v>#REF!</v>
      </c>
      <c r="U10" s="94" t="e">
        <f>IF(SUMIF(Calculations!$BQ$7:$BQ$31,$F10&amp;" Tier 1",Calculations!#REF!)=0,"",ROUND(SUMIF(Calculations!$BQ$7:$BQ$31,$F10&amp;" Tier 1",Calculations!#REF!),1))</f>
        <v>#REF!</v>
      </c>
      <c r="V10" s="100" t="e">
        <f>IF(SUMIF(Calculations!$BQ$7:$BQ$31,$F10&amp;" Tier 1",Calculations!#REF!)=0,"",SUMIF(Calculations!$BQ$7:$BQ$31,$F10&amp;" Tier 1",Calculations!#REF!))</f>
        <v>#REF!</v>
      </c>
      <c r="W10" s="71"/>
      <c r="X10" s="141" t="s">
        <v>404</v>
      </c>
      <c r="Y10" s="121" t="str">
        <f>IF(SUMIF(Calculations!$BQ$7:$BQ$31,$F10&amp;" Tier 2",Calculations!$J$7:$J$31)=0,"",SUMIF(Calculations!$BQ$7:$BQ$31,$F10&amp;" Tier 2",Calculations!$J$7:$J$31))</f>
        <v/>
      </c>
      <c r="Z10" s="95" t="e">
        <f>IF(SUMIF(Calculations!$BQ$7:$BQ$31,$F10&amp;" Tier 2",Calculations!#REF!)=0,"",ROUND(SUMIF(Calculations!$BQ$7:$BQ$31,$F10&amp;" Tier 2",Calculations!#REF!)/Y10,3))</f>
        <v>#REF!</v>
      </c>
      <c r="AA10" s="94" t="e">
        <f>IF(SUMIF(Calculations!$BQ$7:$BQ$31,$F10&amp;" Tier 2",Calculations!#REF!)=0,"",ROUND(SUMIF(Calculations!$BQ$7:$BQ$31,$F10&amp;" Tier 2",Calculations!#REF!)/Y10,1))</f>
        <v>#REF!</v>
      </c>
      <c r="AB10" s="95" t="e">
        <f>IF(SUMIF(Calculations!$BQ$7:$BQ$31,$F10&amp;" Tier 2",Calculations!#REF!)=0,"",ROUND(SUMIF(Calculations!$BQ$7:$BQ$31,$F10&amp;" Tier 2",Calculations!#REF!),3))</f>
        <v>#REF!</v>
      </c>
      <c r="AC10" s="94" t="e">
        <f>IF(SUMIF(Calculations!$BQ$7:$BQ$31,$F10&amp;" Tier 2",Calculations!#REF!)=0,"",ROUND(SUMIF(Calculations!$BQ$7:$BQ$31,$F10&amp;" Tier 2",Calculations!#REF!),1))</f>
        <v>#REF!</v>
      </c>
      <c r="AD10" s="100" t="e">
        <f>IF(SUMIF(Calculations!$BQ$7:$BQ$31,$F10&amp;" Tier 2",Calculations!#REF!)=0,"",SUMIF(Calculations!$BQ$7:$BQ$31,$F10&amp;" Tier 2",Calculations!#REF!))</f>
        <v>#REF!</v>
      </c>
      <c r="AE10" s="57"/>
    </row>
    <row r="11" spans="2:32" ht="14.5" thickBot="1" x14ac:dyDescent="0.35">
      <c r="C11" s="1202"/>
      <c r="D11" s="1172" t="s">
        <v>98</v>
      </c>
      <c r="E11" s="117" t="s">
        <v>11</v>
      </c>
      <c r="F11" s="110" t="str">
        <f>C9&amp;" "&amp;D11&amp;" "&amp;E11</f>
        <v>Air Conditioners - Air Cooled ≥ 5.4 &amp; &lt; 11.25 Tons Split System</v>
      </c>
      <c r="G11" s="71"/>
      <c r="H11" s="142" t="s">
        <v>338</v>
      </c>
      <c r="I11" s="139" t="str">
        <f>IF(SUMIF(Calculations!$BQ$7:$BQ$31,$F11&amp;" Tier 0",Calculations!$J$7:$J$31)=0,"",SUMIF(Calculations!$BQ$7:$BQ$31,$F11&amp;" Tier 0",Calculations!$J$7:$J$31))</f>
        <v/>
      </c>
      <c r="J11" s="95" t="e">
        <f>IF(SUMIF(Calculations!$BQ$7:$BQ$31,$F11&amp;" Tier 0",Calculations!#REF!)=0,"",ROUND(SUMIF(Calculations!$BQ$7:$BQ$31,$F11&amp;" Tier 0",Calculations!#REF!)/I11,3))</f>
        <v>#REF!</v>
      </c>
      <c r="K11" s="94" t="e">
        <f>IF(SUMIF(Calculations!$BQ$7:$BQ$31,$F11&amp;" Tier 0",Calculations!#REF!)=0,"",ROUND(SUMIF(Calculations!$BQ$7:$BQ$31,$F11&amp;" Tier 0",Calculations!#REF!)/I11,1))</f>
        <v>#REF!</v>
      </c>
      <c r="L11" s="95" t="e">
        <f>IF(SUMIF(Calculations!$BQ$7:$BQ$31,$F11&amp;" Tier 0",Calculations!#REF!)=0,"",ROUND(SUMIF(Calculations!$BQ$7:$BQ$31,$F11&amp;" Tier 0",Calculations!#REF!),3))</f>
        <v>#REF!</v>
      </c>
      <c r="M11" s="94" t="e">
        <f>IF(SUMIF(Calculations!$BQ$7:$BQ$31,$F11&amp;" Tier 0",Calculations!#REF!)=0,"",ROUND(SUMIF(Calculations!$BQ$7:$BQ$31,$F11&amp;" Tier 0",Calculations!#REF!),1))</f>
        <v>#REF!</v>
      </c>
      <c r="N11" s="100" t="e">
        <f>IF(SUMIF(Calculations!$BQ$7:$BQ$31,$F11&amp;" Tier 0",Calculations!#REF!)=0,"",SUMIF(Calculations!$BQ$7:$BQ$31,$F11&amp;" Tier 0",Calculations!#REF!))</f>
        <v>#REF!</v>
      </c>
      <c r="O11" s="71"/>
      <c r="P11" s="142" t="s">
        <v>344</v>
      </c>
      <c r="Q11" s="121" t="str">
        <f>IF(SUMIF(Calculations!$BQ$7:$BQ$31,$F11&amp;" Tier 1",Calculations!$J$7:$J$31)=0,"",SUMIF(Calculations!$BQ$7:$BQ$31,$F11&amp;" Tier 1",Calculations!$J$7:$J$31))</f>
        <v/>
      </c>
      <c r="R11" s="95" t="e">
        <f>IF(SUMIF(Calculations!$BQ$7:$BQ$31,$F11&amp;" Tier 1",Calculations!#REF!)=0,"",ROUND(SUMIF(Calculations!$BQ$7:$BQ$31,$F11&amp;" Tier 1",Calculations!#REF!)/Q11,3))</f>
        <v>#REF!</v>
      </c>
      <c r="S11" s="94" t="e">
        <f>IF(SUMIF(Calculations!$BQ$7:$BQ$31,$F11&amp;" Tier 1",Calculations!#REF!)=0,"",ROUND(SUMIF(Calculations!$BQ$7:$BQ$31,$F11&amp;" Tier 1",Calculations!#REF!)/Q11,1))</f>
        <v>#REF!</v>
      </c>
      <c r="T11" s="95" t="e">
        <f>IF(SUMIF(Calculations!$BQ$7:$BQ$31,$F11&amp;" Tier 1",Calculations!#REF!)=0,"",ROUND(SUMIF(Calculations!$BQ$7:$BQ$31,$F11&amp;" Tier 1",Calculations!#REF!),3))</f>
        <v>#REF!</v>
      </c>
      <c r="U11" s="94" t="e">
        <f>IF(SUMIF(Calculations!$BQ$7:$BQ$31,$F11&amp;" Tier 1",Calculations!#REF!)=0,"",ROUND(SUMIF(Calculations!$BQ$7:$BQ$31,$F11&amp;" Tier 1",Calculations!#REF!),1))</f>
        <v>#REF!</v>
      </c>
      <c r="V11" s="100" t="e">
        <f>IF(SUMIF(Calculations!$BQ$7:$BQ$31,$F11&amp;" Tier 1",Calculations!#REF!)=0,"",SUMIF(Calculations!$BQ$7:$BQ$31,$F11&amp;" Tier 1",Calculations!#REF!))</f>
        <v>#REF!</v>
      </c>
      <c r="W11" s="71"/>
      <c r="X11" s="142" t="s">
        <v>405</v>
      </c>
      <c r="Y11" s="121" t="str">
        <f>IF(SUMIF(Calculations!$BQ$7:$BQ$31,$F11&amp;" Tier 2",Calculations!$J$7:$J$31)=0,"",SUMIF(Calculations!$BQ$7:$BQ$31,$F11&amp;" Tier 2",Calculations!$J$7:$J$31))</f>
        <v/>
      </c>
      <c r="Z11" s="95" t="e">
        <f>IF(SUMIF(Calculations!$BQ$7:$BQ$31,$F11&amp;" Tier 2",Calculations!#REF!)=0,"",ROUND(SUMIF(Calculations!$BQ$7:$BQ$31,$F11&amp;" Tier 2",Calculations!#REF!)/Y11,3))</f>
        <v>#REF!</v>
      </c>
      <c r="AA11" s="94" t="e">
        <f>IF(SUMIF(Calculations!$BQ$7:$BQ$31,$F11&amp;" Tier 2",Calculations!#REF!)=0,"",ROUND(SUMIF(Calculations!$BQ$7:$BQ$31,$F11&amp;" Tier 2",Calculations!#REF!)/Y11,1))</f>
        <v>#REF!</v>
      </c>
      <c r="AB11" s="95" t="e">
        <f>IF(SUMIF(Calculations!$BQ$7:$BQ$31,$F11&amp;" Tier 2",Calculations!#REF!)=0,"",ROUND(SUMIF(Calculations!$BQ$7:$BQ$31,$F11&amp;" Tier 2",Calculations!#REF!),3))</f>
        <v>#REF!</v>
      </c>
      <c r="AC11" s="94" t="e">
        <f>IF(SUMIF(Calculations!$BQ$7:$BQ$31,$F11&amp;" Tier 2",Calculations!#REF!)=0,"",ROUND(SUMIF(Calculations!$BQ$7:$BQ$31,$F11&amp;" Tier 2",Calculations!#REF!),1))</f>
        <v>#REF!</v>
      </c>
      <c r="AD11" s="100" t="e">
        <f>IF(SUMIF(Calculations!$BQ$7:$BQ$31,$F11&amp;" Tier 2",Calculations!#REF!)=0,"",SUMIF(Calculations!$BQ$7:$BQ$31,$F11&amp;" Tier 2",Calculations!#REF!))</f>
        <v>#REF!</v>
      </c>
    </row>
    <row r="12" spans="2:32" ht="14.5" thickBot="1" x14ac:dyDescent="0.35">
      <c r="C12" s="1202"/>
      <c r="D12" s="1172"/>
      <c r="E12" s="117" t="s">
        <v>99</v>
      </c>
      <c r="F12" s="110" t="str">
        <f>C9&amp;" "&amp;D11&amp;" "&amp;E12</f>
        <v>Air Conditioners - Air Cooled ≥ 5.4 &amp; &lt; 11.25 Tons Single Package</v>
      </c>
      <c r="G12" s="71"/>
      <c r="H12" s="143" t="s">
        <v>339</v>
      </c>
      <c r="I12" s="139" t="str">
        <f>IF(SUMIF(Calculations!$BQ$7:$BQ$31,$F12&amp;" Tier 0",Calculations!$J$7:$J$31)=0,"",SUMIF(Calculations!$BQ$7:$BQ$31,$F12&amp;" Tier 0",Calculations!$J$7:$J$31))</f>
        <v/>
      </c>
      <c r="J12" s="95" t="e">
        <f>IF(SUMIF(Calculations!$BQ$7:$BQ$31,$F12&amp;" Tier 0",Calculations!#REF!)=0,"",ROUND(SUMIF(Calculations!$BQ$7:$BQ$31,$F12&amp;" Tier 0",Calculations!#REF!)/I12,3))</f>
        <v>#REF!</v>
      </c>
      <c r="K12" s="94" t="e">
        <f>IF(SUMIF(Calculations!$BQ$7:$BQ$31,$F12&amp;" Tier 0",Calculations!#REF!)=0,"",ROUND(SUMIF(Calculations!$BQ$7:$BQ$31,$F12&amp;" Tier 0",Calculations!#REF!)/I12,1))</f>
        <v>#REF!</v>
      </c>
      <c r="L12" s="95" t="e">
        <f>IF(SUMIF(Calculations!$BQ$7:$BQ$31,$F12&amp;" Tier 0",Calculations!#REF!)=0,"",ROUND(SUMIF(Calculations!$BQ$7:$BQ$31,$F12&amp;" Tier 0",Calculations!#REF!),3))</f>
        <v>#REF!</v>
      </c>
      <c r="M12" s="94" t="e">
        <f>IF(SUMIF(Calculations!$BQ$7:$BQ$31,$F12&amp;" Tier 0",Calculations!#REF!)=0,"",ROUND(SUMIF(Calculations!$BQ$7:$BQ$31,$F12&amp;" Tier 0",Calculations!#REF!),1))</f>
        <v>#REF!</v>
      </c>
      <c r="N12" s="100" t="e">
        <f>IF(SUMIF(Calculations!$BQ$7:$BQ$31,$F12&amp;" Tier 0",Calculations!#REF!)=0,"",SUMIF(Calculations!$BQ$7:$BQ$31,$F12&amp;" Tier 0",Calculations!#REF!))</f>
        <v>#REF!</v>
      </c>
      <c r="O12" s="71"/>
      <c r="P12" s="141" t="s">
        <v>345</v>
      </c>
      <c r="Q12" s="121" t="str">
        <f>IF(SUMIF(Calculations!$BQ$7:$BQ$31,$F12&amp;" Tier 1",Calculations!$J$7:$J$31)=0,"",SUMIF(Calculations!$BQ$7:$BQ$31,$F12&amp;" Tier 1",Calculations!$J$7:$J$31))</f>
        <v/>
      </c>
      <c r="R12" s="95" t="e">
        <f>IF(SUMIF(Calculations!$BQ$7:$BQ$31,$F12&amp;" Tier 1",Calculations!#REF!)=0,"",ROUND(SUMIF(Calculations!$BQ$7:$BQ$31,$F12&amp;" Tier 1",Calculations!#REF!)/Q12,3))</f>
        <v>#REF!</v>
      </c>
      <c r="S12" s="94" t="e">
        <f>IF(SUMIF(Calculations!$BQ$7:$BQ$31,$F12&amp;" Tier 1",Calculations!#REF!)=0,"",ROUND(SUMIF(Calculations!$BQ$7:$BQ$31,$F12&amp;" Tier 1",Calculations!#REF!)/Q12,1))</f>
        <v>#REF!</v>
      </c>
      <c r="T12" s="95" t="e">
        <f>IF(SUMIF(Calculations!$BQ$7:$BQ$31,$F12&amp;" Tier 1",Calculations!#REF!)=0,"",ROUND(SUMIF(Calculations!$BQ$7:$BQ$31,$F12&amp;" Tier 1",Calculations!#REF!),3))</f>
        <v>#REF!</v>
      </c>
      <c r="U12" s="94" t="e">
        <f>IF(SUMIF(Calculations!$BQ$7:$BQ$31,$F12&amp;" Tier 1",Calculations!#REF!)=0,"",ROUND(SUMIF(Calculations!$BQ$7:$BQ$31,$F12&amp;" Tier 1",Calculations!#REF!),1))</f>
        <v>#REF!</v>
      </c>
      <c r="V12" s="100" t="e">
        <f>IF(SUMIF(Calculations!$BQ$7:$BQ$31,$F12&amp;" Tier 1",Calculations!#REF!)=0,"",SUMIF(Calculations!$BQ$7:$BQ$31,$F12&amp;" Tier 1",Calculations!#REF!))</f>
        <v>#REF!</v>
      </c>
      <c r="W12" s="71"/>
      <c r="X12" s="141" t="s">
        <v>406</v>
      </c>
      <c r="Y12" s="121" t="str">
        <f>IF(SUMIF(Calculations!$BQ$7:$BQ$31,$F12&amp;" Tier 2",Calculations!$J$7:$J$31)=0,"",SUMIF(Calculations!$BQ$7:$BQ$31,$F12&amp;" Tier 2",Calculations!$J$7:$J$31))</f>
        <v/>
      </c>
      <c r="Z12" s="95" t="e">
        <f>IF(SUMIF(Calculations!$BQ$7:$BQ$31,$F12&amp;" Tier 2",Calculations!#REF!)=0,"",ROUND(SUMIF(Calculations!$BQ$7:$BQ$31,$F12&amp;" Tier 2",Calculations!#REF!)/Y12,3))</f>
        <v>#REF!</v>
      </c>
      <c r="AA12" s="94" t="e">
        <f>IF(SUMIF(Calculations!$BQ$7:$BQ$31,$F12&amp;" Tier 2",Calculations!#REF!)=0,"",ROUND(SUMIF(Calculations!$BQ$7:$BQ$31,$F12&amp;" Tier 2",Calculations!#REF!)/Y12,1))</f>
        <v>#REF!</v>
      </c>
      <c r="AB12" s="95" t="e">
        <f>IF(SUMIF(Calculations!$BQ$7:$BQ$31,$F12&amp;" Tier 2",Calculations!#REF!)=0,"",ROUND(SUMIF(Calculations!$BQ$7:$BQ$31,$F12&amp;" Tier 2",Calculations!#REF!),3))</f>
        <v>#REF!</v>
      </c>
      <c r="AC12" s="94" t="e">
        <f>IF(SUMIF(Calculations!$BQ$7:$BQ$31,$F12&amp;" Tier 2",Calculations!#REF!)=0,"",ROUND(SUMIF(Calculations!$BQ$7:$BQ$31,$F12&amp;" Tier 2",Calculations!#REF!),1))</f>
        <v>#REF!</v>
      </c>
      <c r="AD12" s="100" t="e">
        <f>IF(SUMIF(Calculations!$BQ$7:$BQ$31,$F12&amp;" Tier 2",Calculations!#REF!)=0,"",SUMIF(Calculations!$BQ$7:$BQ$31,$F12&amp;" Tier 2",Calculations!#REF!))</f>
        <v>#REF!</v>
      </c>
    </row>
    <row r="13" spans="2:32" ht="14.5" thickBot="1" x14ac:dyDescent="0.35">
      <c r="C13" s="1202"/>
      <c r="D13" s="1172" t="s">
        <v>93</v>
      </c>
      <c r="E13" s="117" t="s">
        <v>11</v>
      </c>
      <c r="F13" s="110" t="str">
        <f>C9&amp;" "&amp;D13&amp;" "&amp;E13</f>
        <v>Air Conditioners - Air Cooled ≥ 11.25 &amp; &lt; 20 Tons Split System</v>
      </c>
      <c r="G13" s="71"/>
      <c r="H13" s="142" t="s">
        <v>340</v>
      </c>
      <c r="I13" s="139" t="str">
        <f>IF(SUMIF(Calculations!$BQ$7:$BQ$31,$F13&amp;" Tier 0",Calculations!$J$7:$J$31)=0,"",SUMIF(Calculations!$BQ$7:$BQ$31,$F13&amp;" Tier 0",Calculations!$J$7:$J$31))</f>
        <v/>
      </c>
      <c r="J13" s="95" t="e">
        <f>IF(SUMIF(Calculations!$BQ$7:$BQ$31,$F13&amp;" Tier 0",Calculations!#REF!)=0,"",ROUND(SUMIF(Calculations!$BQ$7:$BQ$31,$F13&amp;" Tier 0",Calculations!#REF!)/I13,3))</f>
        <v>#REF!</v>
      </c>
      <c r="K13" s="94" t="e">
        <f>IF(SUMIF(Calculations!$BQ$7:$BQ$31,$F13&amp;" Tier 0",Calculations!#REF!)=0,"",ROUND(SUMIF(Calculations!$BQ$7:$BQ$31,$F13&amp;" Tier 0",Calculations!#REF!)/I13,1))</f>
        <v>#REF!</v>
      </c>
      <c r="L13" s="95" t="e">
        <f>IF(SUMIF(Calculations!$BQ$7:$BQ$31,$F13&amp;" Tier 0",Calculations!#REF!)=0,"",ROUND(SUMIF(Calculations!$BQ$7:$BQ$31,$F13&amp;" Tier 0",Calculations!#REF!),3))</f>
        <v>#REF!</v>
      </c>
      <c r="M13" s="94" t="e">
        <f>IF(SUMIF(Calculations!$BQ$7:$BQ$31,$F13&amp;" Tier 0",Calculations!#REF!)=0,"",ROUND(SUMIF(Calculations!$BQ$7:$BQ$31,$F13&amp;" Tier 0",Calculations!#REF!),1))</f>
        <v>#REF!</v>
      </c>
      <c r="N13" s="100" t="e">
        <f>IF(SUMIF(Calculations!$BQ$7:$BQ$31,$F13&amp;" Tier 0",Calculations!#REF!)=0,"",SUMIF(Calculations!$BQ$7:$BQ$31,$F13&amp;" Tier 0",Calculations!#REF!))</f>
        <v>#REF!</v>
      </c>
      <c r="O13" s="71"/>
      <c r="P13" s="142" t="s">
        <v>346</v>
      </c>
      <c r="Q13" s="121" t="str">
        <f>IF(SUMIF(Calculations!$BQ$7:$BQ$31,$F13&amp;" Tier 1",Calculations!$J$7:$J$31)=0,"",SUMIF(Calculations!$BQ$7:$BQ$31,$F13&amp;" Tier 1",Calculations!$J$7:$J$31))</f>
        <v/>
      </c>
      <c r="R13" s="95" t="e">
        <f>IF(SUMIF(Calculations!$BQ$7:$BQ$31,$F13&amp;" Tier 1",Calculations!#REF!)=0,"",ROUND(SUMIF(Calculations!$BQ$7:$BQ$31,$F13&amp;" Tier 1",Calculations!#REF!)/Q13,3))</f>
        <v>#REF!</v>
      </c>
      <c r="S13" s="94" t="e">
        <f>IF(SUMIF(Calculations!$BQ$7:$BQ$31,$F13&amp;" Tier 1",Calculations!#REF!)=0,"",ROUND(SUMIF(Calculations!$BQ$7:$BQ$31,$F13&amp;" Tier 1",Calculations!#REF!)/Q13,1))</f>
        <v>#REF!</v>
      </c>
      <c r="T13" s="95" t="e">
        <f>IF(SUMIF(Calculations!$BQ$7:$BQ$31,$F13&amp;" Tier 1",Calculations!#REF!)=0,"",ROUND(SUMIF(Calculations!$BQ$7:$BQ$31,$F13&amp;" Tier 1",Calculations!#REF!),3))</f>
        <v>#REF!</v>
      </c>
      <c r="U13" s="94" t="e">
        <f>IF(SUMIF(Calculations!$BQ$7:$BQ$31,$F13&amp;" Tier 1",Calculations!#REF!)=0,"",ROUND(SUMIF(Calculations!$BQ$7:$BQ$31,$F13&amp;" Tier 1",Calculations!#REF!),1))</f>
        <v>#REF!</v>
      </c>
      <c r="V13" s="100" t="e">
        <f>IF(SUMIF(Calculations!$BQ$7:$BQ$31,$F13&amp;" Tier 1",Calculations!#REF!)=0,"",SUMIF(Calculations!$BQ$7:$BQ$31,$F13&amp;" Tier 1",Calculations!#REF!))</f>
        <v>#REF!</v>
      </c>
      <c r="W13" s="71"/>
      <c r="X13" s="142" t="s">
        <v>407</v>
      </c>
      <c r="Y13" s="121" t="str">
        <f>IF(SUMIF(Calculations!$BQ$7:$BQ$31,$F13&amp;" Tier 2",Calculations!$J$7:$J$31)=0,"",SUMIF(Calculations!$BQ$7:$BQ$31,$F13&amp;" Tier 2",Calculations!$J$7:$J$31))</f>
        <v/>
      </c>
      <c r="Z13" s="95" t="e">
        <f>IF(SUMIF(Calculations!$BQ$7:$BQ$31,$F13&amp;" Tier 2",Calculations!#REF!)=0,"",ROUND(SUMIF(Calculations!$BQ$7:$BQ$31,$F13&amp;" Tier 2",Calculations!#REF!)/Y13,3))</f>
        <v>#REF!</v>
      </c>
      <c r="AA13" s="94" t="e">
        <f>IF(SUMIF(Calculations!$BQ$7:$BQ$31,$F13&amp;" Tier 2",Calculations!#REF!)=0,"",ROUND(SUMIF(Calculations!$BQ$7:$BQ$31,$F13&amp;" Tier 2",Calculations!#REF!)/Y13,1))</f>
        <v>#REF!</v>
      </c>
      <c r="AB13" s="95" t="e">
        <f>IF(SUMIF(Calculations!$BQ$7:$BQ$31,$F13&amp;" Tier 2",Calculations!#REF!)=0,"",ROUND(SUMIF(Calculations!$BQ$7:$BQ$31,$F13&amp;" Tier 2",Calculations!#REF!),3))</f>
        <v>#REF!</v>
      </c>
      <c r="AC13" s="94" t="e">
        <f>IF(SUMIF(Calculations!$BQ$7:$BQ$31,$F13&amp;" Tier 2",Calculations!#REF!)=0,"",ROUND(SUMIF(Calculations!$BQ$7:$BQ$31,$F13&amp;" Tier 2",Calculations!#REF!),1))</f>
        <v>#REF!</v>
      </c>
      <c r="AD13" s="100" t="e">
        <f>IF(SUMIF(Calculations!$BQ$7:$BQ$31,$F13&amp;" Tier 2",Calculations!#REF!)=0,"",SUMIF(Calculations!$BQ$7:$BQ$31,$F13&amp;" Tier 2",Calculations!#REF!))</f>
        <v>#REF!</v>
      </c>
    </row>
    <row r="14" spans="2:32" ht="14.5" thickBot="1" x14ac:dyDescent="0.35">
      <c r="C14" s="1202"/>
      <c r="D14" s="1172"/>
      <c r="E14" s="117" t="s">
        <v>99</v>
      </c>
      <c r="F14" s="110" t="str">
        <f>C9&amp;" "&amp;D13&amp;" "&amp;E14</f>
        <v>Air Conditioners - Air Cooled ≥ 11.25 &amp; &lt; 20 Tons Single Package</v>
      </c>
      <c r="G14" s="71"/>
      <c r="H14" s="143" t="s">
        <v>341</v>
      </c>
      <c r="I14" s="139" t="str">
        <f>IF(SUMIF(Calculations!$BQ$7:$BQ$31,$F14&amp;" Tier 0",Calculations!$J$7:$J$31)=0,"",SUMIF(Calculations!$BQ$7:$BQ$31,$F14&amp;" Tier 0",Calculations!$J$7:$J$31))</f>
        <v/>
      </c>
      <c r="J14" s="95" t="e">
        <f>IF(SUMIF(Calculations!$BQ$7:$BQ$31,$F14&amp;" Tier 0",Calculations!#REF!)=0,"",ROUND(SUMIF(Calculations!$BQ$7:$BQ$31,$F14&amp;" Tier 0",Calculations!#REF!)/I14,3))</f>
        <v>#REF!</v>
      </c>
      <c r="K14" s="94" t="e">
        <f>IF(SUMIF(Calculations!$BQ$7:$BQ$31,$F14&amp;" Tier 0",Calculations!#REF!)=0,"",ROUND(SUMIF(Calculations!$BQ$7:$BQ$31,$F14&amp;" Tier 0",Calculations!#REF!)/I14,1))</f>
        <v>#REF!</v>
      </c>
      <c r="L14" s="95" t="e">
        <f>IF(SUMIF(Calculations!$BQ$7:$BQ$31,$F14&amp;" Tier 0",Calculations!#REF!)=0,"",ROUND(SUMIF(Calculations!$BQ$7:$BQ$31,$F14&amp;" Tier 0",Calculations!#REF!),3))</f>
        <v>#REF!</v>
      </c>
      <c r="M14" s="94" t="e">
        <f>IF(SUMIF(Calculations!$BQ$7:$BQ$31,$F14&amp;" Tier 0",Calculations!#REF!)=0,"",ROUND(SUMIF(Calculations!$BQ$7:$BQ$31,$F14&amp;" Tier 0",Calculations!#REF!),1))</f>
        <v>#REF!</v>
      </c>
      <c r="N14" s="100" t="e">
        <f>IF(SUMIF(Calculations!$BQ$7:$BQ$31,$F14&amp;" Tier 0",Calculations!#REF!)=0,"",SUMIF(Calculations!$BQ$7:$BQ$31,$F14&amp;" Tier 0",Calculations!#REF!))</f>
        <v>#REF!</v>
      </c>
      <c r="O14" s="71"/>
      <c r="P14" s="141" t="s">
        <v>347</v>
      </c>
      <c r="Q14" s="121" t="str">
        <f>IF(SUMIF(Calculations!$BQ$7:$BQ$31,$F14&amp;" Tier 1",Calculations!$J$7:$J$31)=0,"",SUMIF(Calculations!$BQ$7:$BQ$31,$F14&amp;" Tier 1",Calculations!$J$7:$J$31))</f>
        <v/>
      </c>
      <c r="R14" s="95" t="e">
        <f>IF(SUMIF(Calculations!$BQ$7:$BQ$31,$F14&amp;" Tier 1",Calculations!#REF!)=0,"",ROUND(SUMIF(Calculations!$BQ$7:$BQ$31,$F14&amp;" Tier 1",Calculations!#REF!)/Q14,3))</f>
        <v>#REF!</v>
      </c>
      <c r="S14" s="94" t="e">
        <f>IF(SUMIF(Calculations!$BQ$7:$BQ$31,$F14&amp;" Tier 1",Calculations!#REF!)=0,"",ROUND(SUMIF(Calculations!$BQ$7:$BQ$31,$F14&amp;" Tier 1",Calculations!#REF!)/Q14,1))</f>
        <v>#REF!</v>
      </c>
      <c r="T14" s="95" t="e">
        <f>IF(SUMIF(Calculations!$BQ$7:$BQ$31,$F14&amp;" Tier 1",Calculations!#REF!)=0,"",ROUND(SUMIF(Calculations!$BQ$7:$BQ$31,$F14&amp;" Tier 1",Calculations!#REF!),3))</f>
        <v>#REF!</v>
      </c>
      <c r="U14" s="94" t="e">
        <f>IF(SUMIF(Calculations!$BQ$7:$BQ$31,$F14&amp;" Tier 1",Calculations!#REF!)=0,"",ROUND(SUMIF(Calculations!$BQ$7:$BQ$31,$F14&amp;" Tier 1",Calculations!#REF!),1))</f>
        <v>#REF!</v>
      </c>
      <c r="V14" s="100" t="e">
        <f>IF(SUMIF(Calculations!$BQ$7:$BQ$31,$F14&amp;" Tier 1",Calculations!#REF!)=0,"",SUMIF(Calculations!$BQ$7:$BQ$31,$F14&amp;" Tier 1",Calculations!#REF!))</f>
        <v>#REF!</v>
      </c>
      <c r="W14" s="71"/>
      <c r="X14" s="141" t="s">
        <v>408</v>
      </c>
      <c r="Y14" s="121" t="str">
        <f>IF(SUMIF(Calculations!$BQ$7:$BQ$31,$F14&amp;" Tier 2",Calculations!$J$7:$J$31)=0,"",SUMIF(Calculations!$BQ$7:$BQ$31,$F14&amp;" Tier 2",Calculations!$J$7:$J$31))</f>
        <v/>
      </c>
      <c r="Z14" s="95" t="e">
        <f>IF(SUMIF(Calculations!$BQ$7:$BQ$31,$F14&amp;" Tier 2",Calculations!#REF!)=0,"",ROUND(SUMIF(Calculations!$BQ$7:$BQ$31,$F14&amp;" Tier 2",Calculations!#REF!)/Y14,3))</f>
        <v>#REF!</v>
      </c>
      <c r="AA14" s="94" t="e">
        <f>IF(SUMIF(Calculations!$BQ$7:$BQ$31,$F14&amp;" Tier 2",Calculations!#REF!)=0,"",ROUND(SUMIF(Calculations!$BQ$7:$BQ$31,$F14&amp;" Tier 2",Calculations!#REF!)/Y14,1))</f>
        <v>#REF!</v>
      </c>
      <c r="AB14" s="95" t="e">
        <f>IF(SUMIF(Calculations!$BQ$7:$BQ$31,$F14&amp;" Tier 2",Calculations!#REF!)=0,"",ROUND(SUMIF(Calculations!$BQ$7:$BQ$31,$F14&amp;" Tier 2",Calculations!#REF!),3))</f>
        <v>#REF!</v>
      </c>
      <c r="AC14" s="94" t="e">
        <f>IF(SUMIF(Calculations!$BQ$7:$BQ$31,$F14&amp;" Tier 2",Calculations!#REF!)=0,"",ROUND(SUMIF(Calculations!$BQ$7:$BQ$31,$F14&amp;" Tier 2",Calculations!#REF!),1))</f>
        <v>#REF!</v>
      </c>
      <c r="AD14" s="100" t="e">
        <f>IF(SUMIF(Calculations!$BQ$7:$BQ$31,$F14&amp;" Tier 2",Calculations!#REF!)=0,"",SUMIF(Calculations!$BQ$7:$BQ$31,$F14&amp;" Tier 2",Calculations!#REF!))</f>
        <v>#REF!</v>
      </c>
    </row>
    <row r="15" spans="2:32" ht="14.5" thickBot="1" x14ac:dyDescent="0.35">
      <c r="C15" s="1202"/>
      <c r="D15" s="1172" t="s">
        <v>94</v>
      </c>
      <c r="E15" s="117" t="s">
        <v>11</v>
      </c>
      <c r="F15" s="110" t="str">
        <f>C9&amp;" "&amp;D15&amp;" "&amp;E15</f>
        <v>Air Conditioners - Air Cooled ≥ 20 &amp; &lt; 63 Tons Split System</v>
      </c>
      <c r="G15" s="71"/>
      <c r="H15" s="142" t="s">
        <v>342</v>
      </c>
      <c r="I15" s="139" t="str">
        <f>IF(SUMIF(Calculations!$BQ$7:$BQ$31,$F15&amp;" Tier 0",Calculations!$J$7:$J$31)=0,"",SUMIF(Calculations!$BQ$7:$BQ$31,$F15&amp;" Tier 0",Calculations!$J$7:$J$31))</f>
        <v/>
      </c>
      <c r="J15" s="95" t="e">
        <f>IF(SUMIF(Calculations!$BQ$7:$BQ$31,$F15&amp;" Tier 0",Calculations!#REF!)=0,"",ROUND(SUMIF(Calculations!$BQ$7:$BQ$31,$F15&amp;" Tier 0",Calculations!#REF!)/I15,3))</f>
        <v>#REF!</v>
      </c>
      <c r="K15" s="94" t="e">
        <f>IF(SUMIF(Calculations!$BQ$7:$BQ$31,$F15&amp;" Tier 0",Calculations!#REF!)=0,"",ROUND(SUMIF(Calculations!$BQ$7:$BQ$31,$F15&amp;" Tier 0",Calculations!#REF!)/I15,1))</f>
        <v>#REF!</v>
      </c>
      <c r="L15" s="95" t="e">
        <f>IF(SUMIF(Calculations!$BQ$7:$BQ$31,$F15&amp;" Tier 0",Calculations!#REF!)=0,"",ROUND(SUMIF(Calculations!$BQ$7:$BQ$31,$F15&amp;" Tier 0",Calculations!#REF!),3))</f>
        <v>#REF!</v>
      </c>
      <c r="M15" s="94" t="e">
        <f>IF(SUMIF(Calculations!$BQ$7:$BQ$31,$F15&amp;" Tier 0",Calculations!#REF!)=0,"",ROUND(SUMIF(Calculations!$BQ$7:$BQ$31,$F15&amp;" Tier 0",Calculations!#REF!),1))</f>
        <v>#REF!</v>
      </c>
      <c r="N15" s="100" t="e">
        <f>IF(SUMIF(Calculations!$BQ$7:$BQ$31,$F15&amp;" Tier 0",Calculations!#REF!)=0,"",SUMIF(Calculations!$BQ$7:$BQ$31,$F15&amp;" Tier 0",Calculations!#REF!))</f>
        <v>#REF!</v>
      </c>
      <c r="O15" s="71"/>
      <c r="P15" s="142" t="s">
        <v>348</v>
      </c>
      <c r="Q15" s="121" t="str">
        <f>IF(SUMIF(Calculations!$BQ$7:$BQ$31,$F15&amp;" Tier 1",Calculations!$J$7:$J$31)=0,"",SUMIF(Calculations!$BQ$7:$BQ$31,$F15&amp;" Tier 1",Calculations!$J$7:$J$31))</f>
        <v/>
      </c>
      <c r="R15" s="95" t="e">
        <f>IF(SUMIF(Calculations!$BQ$7:$BQ$31,$F15&amp;" Tier 1",Calculations!#REF!)=0,"",ROUND(SUMIF(Calculations!$BQ$7:$BQ$31,$F15&amp;" Tier 1",Calculations!#REF!)/Q15,3))</f>
        <v>#REF!</v>
      </c>
      <c r="S15" s="94" t="e">
        <f>IF(SUMIF(Calculations!$BQ$7:$BQ$31,$F15&amp;" Tier 1",Calculations!#REF!)=0,"",ROUND(SUMIF(Calculations!$BQ$7:$BQ$31,$F15&amp;" Tier 1",Calculations!#REF!)/Q15,1))</f>
        <v>#REF!</v>
      </c>
      <c r="T15" s="95" t="e">
        <f>IF(SUMIF(Calculations!$BQ$7:$BQ$31,$F15&amp;" Tier 1",Calculations!#REF!)=0,"",ROUND(SUMIF(Calculations!$BQ$7:$BQ$31,$F15&amp;" Tier 1",Calculations!#REF!),3))</f>
        <v>#REF!</v>
      </c>
      <c r="U15" s="94" t="e">
        <f>IF(SUMIF(Calculations!$BQ$7:$BQ$31,$F15&amp;" Tier 1",Calculations!#REF!)=0,"",ROUND(SUMIF(Calculations!$BQ$7:$BQ$31,$F15&amp;" Tier 1",Calculations!#REF!),1))</f>
        <v>#REF!</v>
      </c>
      <c r="V15" s="100" t="e">
        <f>IF(SUMIF(Calculations!$BQ$7:$BQ$31,$F15&amp;" Tier 1",Calculations!#REF!)=0,"",SUMIF(Calculations!$BQ$7:$BQ$31,$F15&amp;" Tier 1",Calculations!#REF!))</f>
        <v>#REF!</v>
      </c>
      <c r="W15" s="71"/>
      <c r="X15" s="142" t="s">
        <v>409</v>
      </c>
      <c r="Y15" s="121" t="str">
        <f>IF(SUMIF(Calculations!$BQ$7:$BQ$31,$F15&amp;" Tier 2",Calculations!$J$7:$J$31)=0,"",SUMIF(Calculations!$BQ$7:$BQ$31,$F15&amp;" Tier 2",Calculations!$J$7:$J$31))</f>
        <v/>
      </c>
      <c r="Z15" s="95" t="e">
        <f>IF(SUMIF(Calculations!$BQ$7:$BQ$31,$F15&amp;" Tier 2",Calculations!#REF!)=0,"",ROUND(SUMIF(Calculations!$BQ$7:$BQ$31,$F15&amp;" Tier 2",Calculations!#REF!)/Y15,3))</f>
        <v>#REF!</v>
      </c>
      <c r="AA15" s="94" t="e">
        <f>IF(SUMIF(Calculations!$BQ$7:$BQ$31,$F15&amp;" Tier 2",Calculations!#REF!)=0,"",ROUND(SUMIF(Calculations!$BQ$7:$BQ$31,$F15&amp;" Tier 2",Calculations!#REF!)/Y15,1))</f>
        <v>#REF!</v>
      </c>
      <c r="AB15" s="95" t="e">
        <f>IF(SUMIF(Calculations!$BQ$7:$BQ$31,$F15&amp;" Tier 2",Calculations!#REF!)=0,"",ROUND(SUMIF(Calculations!$BQ$7:$BQ$31,$F15&amp;" Tier 2",Calculations!#REF!),3))</f>
        <v>#REF!</v>
      </c>
      <c r="AC15" s="94" t="e">
        <f>IF(SUMIF(Calculations!$BQ$7:$BQ$31,$F15&amp;" Tier 2",Calculations!#REF!)=0,"",ROUND(SUMIF(Calculations!$BQ$7:$BQ$31,$F15&amp;" Tier 2",Calculations!#REF!),1))</f>
        <v>#REF!</v>
      </c>
      <c r="AD15" s="100" t="e">
        <f>IF(SUMIF(Calculations!$BQ$7:$BQ$31,$F15&amp;" Tier 2",Calculations!#REF!)=0,"",SUMIF(Calculations!$BQ$7:$BQ$31,$F15&amp;" Tier 2",Calculations!#REF!))</f>
        <v>#REF!</v>
      </c>
      <c r="AF15" s="58"/>
    </row>
    <row r="16" spans="2:32" ht="14.5" thickBot="1" x14ac:dyDescent="0.4">
      <c r="C16" s="1202"/>
      <c r="D16" s="1172"/>
      <c r="E16" s="117" t="s">
        <v>99</v>
      </c>
      <c r="F16" s="110" t="str">
        <f>C9&amp;" "&amp;D15&amp;" "&amp;E16</f>
        <v>Air Conditioners - Air Cooled ≥ 20 &amp; &lt; 63 Tons Single Package</v>
      </c>
      <c r="G16" s="71"/>
      <c r="H16" s="143" t="s">
        <v>336</v>
      </c>
      <c r="I16" s="139" t="str">
        <f>IF(SUMIF(Calculations!$BQ$7:$BQ$31,$F16&amp;" Tier 0",Calculations!$J$7:$J$31)=0,"",SUMIF(Calculations!$BQ$7:$BQ$31,$F16&amp;" Tier 0",Calculations!$J$7:$J$31))</f>
        <v/>
      </c>
      <c r="J16" s="95" t="e">
        <f>IF(SUMIF(Calculations!$BQ$7:$BQ$31,$F16&amp;" Tier 0",Calculations!#REF!)=0,"",ROUND(SUMIF(Calculations!$BQ$7:$BQ$31,$F16&amp;" Tier 0",Calculations!#REF!)/I16,3))</f>
        <v>#REF!</v>
      </c>
      <c r="K16" s="94" t="e">
        <f>IF(SUMIF(Calculations!$BQ$7:$BQ$31,$F16&amp;" Tier 0",Calculations!#REF!)=0,"",ROUND(SUMIF(Calculations!$BQ$7:$BQ$31,$F16&amp;" Tier 0",Calculations!#REF!)/I16,1))</f>
        <v>#REF!</v>
      </c>
      <c r="L16" s="95" t="e">
        <f>IF(SUMIF(Calculations!$BQ$7:$BQ$31,$F16&amp;" Tier 0",Calculations!#REF!)=0,"",ROUND(SUMIF(Calculations!$BQ$7:$BQ$31,$F16&amp;" Tier 0",Calculations!#REF!),3))</f>
        <v>#REF!</v>
      </c>
      <c r="M16" s="94" t="e">
        <f>IF(SUMIF(Calculations!$BQ$7:$BQ$31,$F16&amp;" Tier 0",Calculations!#REF!)=0,"",ROUND(SUMIF(Calculations!$BQ$7:$BQ$31,$F16&amp;" Tier 0",Calculations!#REF!),1))</f>
        <v>#REF!</v>
      </c>
      <c r="N16" s="100" t="e">
        <f>IF(SUMIF(Calculations!$BQ$7:$BQ$31,$F16&amp;" Tier 0",Calculations!#REF!)=0,"",SUMIF(Calculations!$BQ$7:$BQ$31,$F16&amp;" Tier 0",Calculations!#REF!))</f>
        <v>#REF!</v>
      </c>
      <c r="O16" s="71"/>
      <c r="P16" s="141" t="s">
        <v>349</v>
      </c>
      <c r="Q16" s="121" t="str">
        <f>IF(SUMIF(Calculations!$BQ$7:$BQ$31,$F16&amp;" Tier 1",Calculations!$J$7:$J$31)=0,"",SUMIF(Calculations!$BQ$7:$BQ$31,$F16&amp;" Tier 1",Calculations!$J$7:$J$31))</f>
        <v/>
      </c>
      <c r="R16" s="95" t="e">
        <f>IF(SUMIF(Calculations!$BQ$7:$BQ$31,$F16&amp;" Tier 1",Calculations!#REF!)=0,"",ROUND(SUMIF(Calculations!$BQ$7:$BQ$31,$F16&amp;" Tier 1",Calculations!#REF!)/Q16,3))</f>
        <v>#REF!</v>
      </c>
      <c r="S16" s="94" t="e">
        <f>IF(SUMIF(Calculations!$BQ$7:$BQ$31,$F16&amp;" Tier 1",Calculations!#REF!)=0,"",ROUND(SUMIF(Calculations!$BQ$7:$BQ$31,$F16&amp;" Tier 1",Calculations!#REF!)/Q16,1))</f>
        <v>#REF!</v>
      </c>
      <c r="T16" s="95" t="e">
        <f>IF(SUMIF(Calculations!$BQ$7:$BQ$31,$F16&amp;" Tier 1",Calculations!#REF!)=0,"",ROUND(SUMIF(Calculations!$BQ$7:$BQ$31,$F16&amp;" Tier 1",Calculations!#REF!),3))</f>
        <v>#REF!</v>
      </c>
      <c r="U16" s="94" t="e">
        <f>IF(SUMIF(Calculations!$BQ$7:$BQ$31,$F16&amp;" Tier 1",Calculations!#REF!)=0,"",ROUND(SUMIF(Calculations!$BQ$7:$BQ$31,$F16&amp;" Tier 1",Calculations!#REF!),1))</f>
        <v>#REF!</v>
      </c>
      <c r="V16" s="100" t="e">
        <f>IF(SUMIF(Calculations!$BQ$7:$BQ$31,$F16&amp;" Tier 1",Calculations!#REF!)=0,"",SUMIF(Calculations!$BQ$7:$BQ$31,$F16&amp;" Tier 1",Calculations!#REF!))</f>
        <v>#REF!</v>
      </c>
      <c r="W16" s="71"/>
      <c r="X16" s="141" t="s">
        <v>410</v>
      </c>
      <c r="Y16" s="121" t="str">
        <f>IF(SUMIF(Calculations!$BQ$7:$BQ$31,$F16&amp;" Tier 2",Calculations!$J$7:$J$31)=0,"",SUMIF(Calculations!$BQ$7:$BQ$31,$F16&amp;" Tier 2",Calculations!$J$7:$J$31))</f>
        <v/>
      </c>
      <c r="Z16" s="95" t="e">
        <f>IF(SUMIF(Calculations!$BQ$7:$BQ$31,$F16&amp;" Tier 2",Calculations!#REF!)=0,"",ROUND(SUMIF(Calculations!$BQ$7:$BQ$31,$F16&amp;" Tier 2",Calculations!#REF!)/Y16,3))</f>
        <v>#REF!</v>
      </c>
      <c r="AA16" s="94" t="e">
        <f>IF(SUMIF(Calculations!$BQ$7:$BQ$31,$F16&amp;" Tier 2",Calculations!#REF!)=0,"",ROUND(SUMIF(Calculations!$BQ$7:$BQ$31,$F16&amp;" Tier 2",Calculations!#REF!)/Y16,1))</f>
        <v>#REF!</v>
      </c>
      <c r="AB16" s="95" t="e">
        <f>IF(SUMIF(Calculations!$BQ$7:$BQ$31,$F16&amp;" Tier 2",Calculations!#REF!)=0,"",ROUND(SUMIF(Calculations!$BQ$7:$BQ$31,$F16&amp;" Tier 2",Calculations!#REF!),3))</f>
        <v>#REF!</v>
      </c>
      <c r="AC16" s="94" t="e">
        <f>IF(SUMIF(Calculations!$BQ$7:$BQ$31,$F16&amp;" Tier 2",Calculations!#REF!)=0,"",ROUND(SUMIF(Calculations!$BQ$7:$BQ$31,$F16&amp;" Tier 2",Calculations!#REF!),1))</f>
        <v>#REF!</v>
      </c>
      <c r="AD16" s="100" t="e">
        <f>IF(SUMIF(Calculations!$BQ$7:$BQ$31,$F16&amp;" Tier 2",Calculations!#REF!)=0,"",SUMIF(Calculations!$BQ$7:$BQ$31,$F16&amp;" Tier 2",Calculations!#REF!))</f>
        <v>#REF!</v>
      </c>
      <c r="AE16" s="54"/>
      <c r="AF16" s="54"/>
    </row>
    <row r="17" spans="2:32" ht="14.5" thickBot="1" x14ac:dyDescent="0.4">
      <c r="C17" s="1202"/>
      <c r="D17" s="1172" t="s">
        <v>137</v>
      </c>
      <c r="E17" s="117" t="s">
        <v>11</v>
      </c>
      <c r="F17" s="110" t="str">
        <f>C9&amp;" "&amp;D17&amp;" "&amp;E17</f>
        <v>Air Conditioners - Air Cooled ≥ 63 Tons Split System</v>
      </c>
      <c r="G17" s="71"/>
      <c r="H17" s="142" t="s">
        <v>337</v>
      </c>
      <c r="I17" s="139" t="str">
        <f>IF(SUMIF(Calculations!$BQ$7:$BQ$31,$F17&amp;" Tier 0",Calculations!$J$7:$J$31)=0,"",SUMIF(Calculations!$BQ$7:$BQ$31,$F17&amp;" Tier 0",Calculations!$J$7:$J$31))</f>
        <v/>
      </c>
      <c r="J17" s="95" t="e">
        <f>IF(SUMIF(Calculations!$BQ$7:$BQ$31,$F17&amp;" Tier 0",Calculations!#REF!)=0,"",ROUND(SUMIF(Calculations!$BQ$7:$BQ$31,$F17&amp;" Tier 0",Calculations!#REF!)/I17,3))</f>
        <v>#REF!</v>
      </c>
      <c r="K17" s="94" t="e">
        <f>IF(SUMIF(Calculations!$BQ$7:$BQ$31,$F17&amp;" Tier 0",Calculations!#REF!)=0,"",ROUND(SUMIF(Calculations!$BQ$7:$BQ$31,$F17&amp;" Tier 0",Calculations!#REF!)/I17,1))</f>
        <v>#REF!</v>
      </c>
      <c r="L17" s="95" t="e">
        <f>IF(SUMIF(Calculations!$BQ$7:$BQ$31,$F17&amp;" Tier 0",Calculations!#REF!)=0,"",ROUND(SUMIF(Calculations!$BQ$7:$BQ$31,$F17&amp;" Tier 0",Calculations!#REF!),3))</f>
        <v>#REF!</v>
      </c>
      <c r="M17" s="94" t="e">
        <f>IF(SUMIF(Calculations!$BQ$7:$BQ$31,$F17&amp;" Tier 0",Calculations!#REF!)=0,"",ROUND(SUMIF(Calculations!$BQ$7:$BQ$31,$F17&amp;" Tier 0",Calculations!#REF!),1))</f>
        <v>#REF!</v>
      </c>
      <c r="N17" s="100" t="e">
        <f>IF(SUMIF(Calculations!$BQ$7:$BQ$31,$F17&amp;" Tier 0",Calculations!#REF!)=0,"",SUMIF(Calculations!$BQ$7:$BQ$31,$F17&amp;" Tier 0",Calculations!#REF!))</f>
        <v>#REF!</v>
      </c>
      <c r="O17" s="71"/>
      <c r="P17" s="142" t="s">
        <v>430</v>
      </c>
      <c r="Q17" s="121" t="str">
        <f>IF(SUMIF(Calculations!$BQ$7:$BQ$31,$F17&amp;" Tier 1",Calculations!$J$7:$J$31)=0,"",SUMIF(Calculations!$BQ$7:$BQ$31,$F17&amp;" Tier 1",Calculations!$J$7:$J$31))</f>
        <v/>
      </c>
      <c r="R17" s="95" t="e">
        <f>IF(SUMIF(Calculations!$BQ$7:$BQ$31,$F17&amp;" Tier 1",Calculations!#REF!)=0,"",ROUND(SUMIF(Calculations!$BQ$7:$BQ$31,$F17&amp;" Tier 1",Calculations!#REF!)/Q17,3))</f>
        <v>#REF!</v>
      </c>
      <c r="S17" s="94" t="e">
        <f>IF(SUMIF(Calculations!$BQ$7:$BQ$31,$F17&amp;" Tier 1",Calculations!#REF!)=0,"",ROUND(SUMIF(Calculations!$BQ$7:$BQ$31,$F17&amp;" Tier 1",Calculations!#REF!)/Q17,1))</f>
        <v>#REF!</v>
      </c>
      <c r="T17" s="95" t="e">
        <f>IF(SUMIF(Calculations!$BQ$7:$BQ$31,$F17&amp;" Tier 1",Calculations!#REF!)=0,"",ROUND(SUMIF(Calculations!$BQ$7:$BQ$31,$F17&amp;" Tier 1",Calculations!#REF!),3))</f>
        <v>#REF!</v>
      </c>
      <c r="U17" s="94" t="e">
        <f>IF(SUMIF(Calculations!$BQ$7:$BQ$31,$F17&amp;" Tier 1",Calculations!#REF!)=0,"",ROUND(SUMIF(Calculations!$BQ$7:$BQ$31,$F17&amp;" Tier 1",Calculations!#REF!),1))</f>
        <v>#REF!</v>
      </c>
      <c r="V17" s="100" t="e">
        <f>IF(SUMIF(Calculations!$BQ$7:$BQ$31,$F17&amp;" Tier 1",Calculations!#REF!)=0,"",SUMIF(Calculations!$BQ$7:$BQ$31,$F17&amp;" Tier 1",Calculations!#REF!))</f>
        <v>#REF!</v>
      </c>
      <c r="W17" s="71"/>
      <c r="X17" s="142" t="s">
        <v>432</v>
      </c>
      <c r="Y17" s="121" t="str">
        <f>IF(SUMIF(Calculations!$BQ$7:$BQ$31,$F17&amp;" Tier 2",Calculations!$J$7:$J$31)=0,"",SUMIF(Calculations!$BQ$7:$BQ$31,$F17&amp;" Tier 2",Calculations!$J$7:$J$31))</f>
        <v/>
      </c>
      <c r="Z17" s="95" t="e">
        <f>IF(SUMIF(Calculations!$BQ$7:$BQ$31,$F17&amp;" Tier 2",Calculations!#REF!)=0,"",ROUND(SUMIF(Calculations!$BQ$7:$BQ$31,$F17&amp;" Tier 2",Calculations!#REF!)/Y17,3))</f>
        <v>#REF!</v>
      </c>
      <c r="AA17" s="94" t="e">
        <f>IF(SUMIF(Calculations!$BQ$7:$BQ$31,$F17&amp;" Tier 2",Calculations!#REF!)=0,"",ROUND(SUMIF(Calculations!$BQ$7:$BQ$31,$F17&amp;" Tier 2",Calculations!#REF!)/Y17,1))</f>
        <v>#REF!</v>
      </c>
      <c r="AB17" s="95" t="e">
        <f>IF(SUMIF(Calculations!$BQ$7:$BQ$31,$F17&amp;" Tier 2",Calculations!#REF!)=0,"",ROUND(SUMIF(Calculations!$BQ$7:$BQ$31,$F17&amp;" Tier 2",Calculations!#REF!),3))</f>
        <v>#REF!</v>
      </c>
      <c r="AC17" s="94" t="e">
        <f>IF(SUMIF(Calculations!$BQ$7:$BQ$31,$F17&amp;" Tier 2",Calculations!#REF!)=0,"",ROUND(SUMIF(Calculations!$BQ$7:$BQ$31,$F17&amp;" Tier 2",Calculations!#REF!),1))</f>
        <v>#REF!</v>
      </c>
      <c r="AD17" s="100" t="e">
        <f>IF(SUMIF(Calculations!$BQ$7:$BQ$31,$F17&amp;" Tier 2",Calculations!#REF!)=0,"",SUMIF(Calculations!$BQ$7:$BQ$31,$F17&amp;" Tier 2",Calculations!#REF!))</f>
        <v>#REF!</v>
      </c>
      <c r="AE17" s="54"/>
      <c r="AF17" s="54"/>
    </row>
    <row r="18" spans="2:32" ht="14.5" thickBot="1" x14ac:dyDescent="0.4">
      <c r="C18" s="1203"/>
      <c r="D18" s="1189"/>
      <c r="E18" s="118" t="s">
        <v>99</v>
      </c>
      <c r="F18" s="111" t="str">
        <f>C9&amp;" "&amp;D17&amp;" "&amp;E18</f>
        <v>Air Conditioners - Air Cooled ≥ 63 Tons Single Package</v>
      </c>
      <c r="G18" s="71"/>
      <c r="H18" s="143" t="s">
        <v>343</v>
      </c>
      <c r="I18" s="140" t="str">
        <f>IF(SUMIF(Calculations!$BQ$7:$BQ$31,$F18&amp;" Tier 0",Calculations!$J$7:$J$31)=0,"",SUMIF(Calculations!$BQ$7:$BQ$31,$F18&amp;" Tier 0",Calculations!$J$7:$J$31))</f>
        <v/>
      </c>
      <c r="J18" s="101" t="e">
        <f>IF(SUMIF(Calculations!$BQ$7:$BQ$31,$F18&amp;" Tier 0",Calculations!#REF!)=0,"",ROUND(SUMIF(Calculations!$BQ$7:$BQ$31,$F18&amp;" Tier 0",Calculations!#REF!)/I18,3))</f>
        <v>#REF!</v>
      </c>
      <c r="K18" s="102" t="e">
        <f>IF(SUMIF(Calculations!$BQ$7:$BQ$31,$F18&amp;" Tier 0",Calculations!#REF!)=0,"",ROUND(SUMIF(Calculations!$BQ$7:$BQ$31,$F18&amp;" Tier 0",Calculations!#REF!)/I18,1))</f>
        <v>#REF!</v>
      </c>
      <c r="L18" s="101" t="e">
        <f>IF(SUMIF(Calculations!$BQ$7:$BQ$31,$F18&amp;" Tier 0",Calculations!#REF!)=0,"",ROUND(SUMIF(Calculations!$BQ$7:$BQ$31,$F18&amp;" Tier 0",Calculations!#REF!),3))</f>
        <v>#REF!</v>
      </c>
      <c r="M18" s="102" t="e">
        <f>IF(SUMIF(Calculations!$BQ$7:$BQ$31,$F18&amp;" Tier 0",Calculations!#REF!)=0,"",ROUND(SUMIF(Calculations!$BQ$7:$BQ$31,$F18&amp;" Tier 0",Calculations!#REF!),1))</f>
        <v>#REF!</v>
      </c>
      <c r="N18" s="103" t="e">
        <f>IF(SUMIF(Calculations!$BQ$7:$BQ$31,$F18&amp;" Tier 0",Calculations!#REF!)=0,"",SUMIF(Calculations!$BQ$7:$BQ$31,$F18&amp;" Tier 0",Calculations!#REF!))</f>
        <v>#REF!</v>
      </c>
      <c r="O18" s="71"/>
      <c r="P18" s="141" t="s">
        <v>431</v>
      </c>
      <c r="Q18" s="122" t="str">
        <f>IF(SUMIF(Calculations!$BQ$7:$BQ$31,$F18&amp;" Tier 1",Calculations!$J$7:$J$31)=0,"",SUMIF(Calculations!$BQ$7:$BQ$31,$F18&amp;" Tier 1",Calculations!$J$7:$J$31))</f>
        <v/>
      </c>
      <c r="R18" s="101" t="e">
        <f>IF(SUMIF(Calculations!$BQ$7:$BQ$31,$F18&amp;" Tier 1",Calculations!#REF!)=0,"",ROUND(SUMIF(Calculations!$BQ$7:$BQ$31,$F18&amp;" Tier 1",Calculations!#REF!)/Q18,3))</f>
        <v>#REF!</v>
      </c>
      <c r="S18" s="102" t="e">
        <f>IF(SUMIF(Calculations!$BQ$7:$BQ$31,$F18&amp;" Tier 1",Calculations!#REF!)=0,"",ROUND(SUMIF(Calculations!$BQ$7:$BQ$31,$F18&amp;" Tier 1",Calculations!#REF!)/Q18,1))</f>
        <v>#REF!</v>
      </c>
      <c r="T18" s="101" t="e">
        <f>IF(SUMIF(Calculations!$BQ$7:$BQ$31,$F18&amp;" Tier 1",Calculations!#REF!)=0,"",ROUND(SUMIF(Calculations!$BQ$7:$BQ$31,$F18&amp;" Tier 1",Calculations!#REF!),3))</f>
        <v>#REF!</v>
      </c>
      <c r="U18" s="102" t="e">
        <f>IF(SUMIF(Calculations!$BQ$7:$BQ$31,$F18&amp;" Tier 1",Calculations!#REF!)=0,"",ROUND(SUMIF(Calculations!$BQ$7:$BQ$31,$F18&amp;" Tier 1",Calculations!#REF!),1))</f>
        <v>#REF!</v>
      </c>
      <c r="V18" s="103" t="e">
        <f>IF(SUMIF(Calculations!$BQ$7:$BQ$31,$F18&amp;" Tier 1",Calculations!#REF!)=0,"",SUMIF(Calculations!$BQ$7:$BQ$31,$F18&amp;" Tier 1",Calculations!#REF!))</f>
        <v>#REF!</v>
      </c>
      <c r="W18" s="71"/>
      <c r="X18" s="141" t="s">
        <v>433</v>
      </c>
      <c r="Y18" s="122" t="str">
        <f>IF(SUMIF(Calculations!$BQ$7:$BQ$31,$F18&amp;" Tier 2",Calculations!$J$7:$J$31)=0,"",SUMIF(Calculations!$BQ$7:$BQ$31,$F18&amp;" Tier 2",Calculations!$J$7:$J$31))</f>
        <v/>
      </c>
      <c r="Z18" s="101" t="e">
        <f>IF(SUMIF(Calculations!$BQ$7:$BQ$31,$F18&amp;" Tier 2",Calculations!#REF!)=0,"",ROUND(SUMIF(Calculations!$BQ$7:$BQ$31,$F18&amp;" Tier 2",Calculations!#REF!)/Y18,3))</f>
        <v>#REF!</v>
      </c>
      <c r="AA18" s="102" t="e">
        <f>IF(SUMIF(Calculations!$BQ$7:$BQ$31,$F18&amp;" Tier 2",Calculations!#REF!)=0,"",ROUND(SUMIF(Calculations!$BQ$7:$BQ$31,$F18&amp;" Tier 2",Calculations!#REF!)/Y18,1))</f>
        <v>#REF!</v>
      </c>
      <c r="AB18" s="101" t="e">
        <f>IF(SUMIF(Calculations!$BQ$7:$BQ$31,$F18&amp;" Tier 2",Calculations!#REF!)=0,"",ROUND(SUMIF(Calculations!$BQ$7:$BQ$31,$F18&amp;" Tier 2",Calculations!#REF!),3))</f>
        <v>#REF!</v>
      </c>
      <c r="AC18" s="102" t="e">
        <f>IF(SUMIF(Calculations!$BQ$7:$BQ$31,$F18&amp;" Tier 2",Calculations!#REF!)=0,"",ROUND(SUMIF(Calculations!$BQ$7:$BQ$31,$F18&amp;" Tier 2",Calculations!#REF!),1))</f>
        <v>#REF!</v>
      </c>
      <c r="AD18" s="103" t="e">
        <f>IF(SUMIF(Calculations!$BQ$7:$BQ$31,$F18&amp;" Tier 2",Calculations!#REF!)=0,"",SUMIF(Calculations!$BQ$7:$BQ$31,$F18&amp;" Tier 2",Calculations!#REF!))</f>
        <v>#REF!</v>
      </c>
      <c r="AE18" s="54"/>
      <c r="AF18" s="54"/>
    </row>
    <row r="19" spans="2:32" s="59" customFormat="1" ht="14" x14ac:dyDescent="0.35">
      <c r="C19" s="1190" t="s">
        <v>92</v>
      </c>
      <c r="D19" s="1196" t="s">
        <v>25</v>
      </c>
      <c r="E19" s="116" t="s">
        <v>11</v>
      </c>
      <c r="F19" s="109" t="str">
        <f>C19&amp;" "&amp;D19&amp;" "&amp;E19</f>
        <v>Air Conditioners - Water &amp; Evaporatively Cooled All Sizes Split System</v>
      </c>
      <c r="G19" s="71"/>
      <c r="H19" s="189"/>
      <c r="I19" s="191" t="str">
        <f>IF(SUMIF(Calculations!$BQ$7:$BQ$31,$F19&amp;" Tier 0",Calculations!$J$7:$J$31)=0,"",SUMIF(Calculations!$BQ$7:$BQ$31,$F19&amp;" Tier 0",Calculations!$J$7:$J$31))</f>
        <v/>
      </c>
      <c r="J19" s="192" t="e">
        <f>IF(SUMIF(Calculations!$BQ$7:$BQ$31,$F19&amp;" Tier 0",Calculations!#REF!)=0,"",ROUND(SUMIF(Calculations!$BQ$7:$BQ$31,$F19&amp;" Tier 0",Calculations!#REF!)/I19,3))</f>
        <v>#REF!</v>
      </c>
      <c r="K19" s="193" t="e">
        <f>IF(SUMIF(Calculations!$BQ$7:$BQ$31,$F19&amp;" Tier 0",Calculations!#REF!)=0,"",ROUND(SUMIF(Calculations!$BQ$7:$BQ$31,$F19&amp;" Tier 0",Calculations!#REF!)/I19,1))</f>
        <v>#REF!</v>
      </c>
      <c r="L19" s="192" t="e">
        <f>IF(SUMIF(Calculations!$BQ$7:$BQ$31,$F19&amp;" Tier 0",Calculations!#REF!)=0,"",ROUND(SUMIF(Calculations!$BQ$7:$BQ$31,$F19&amp;" Tier 0",Calculations!#REF!),3))</f>
        <v>#REF!</v>
      </c>
      <c r="M19" s="193" t="e">
        <f>IF(SUMIF(Calculations!$BQ$7:$BQ$31,$F19&amp;" Tier 0",Calculations!#REF!)=0,"",ROUND(SUMIF(Calculations!$BQ$7:$BQ$31,$F19&amp;" Tier 0",Calculations!#REF!),1))</f>
        <v>#REF!</v>
      </c>
      <c r="N19" s="194" t="e">
        <f>IF(SUMIF(Calculations!$BQ$7:$BQ$31,$F19&amp;" Tier 0",Calculations!#REF!)=0,"",SUMIF(Calculations!$BQ$7:$BQ$31,$F19&amp;" Tier 0",Calculations!#REF!))</f>
        <v>#REF!</v>
      </c>
      <c r="O19" s="71"/>
      <c r="P19" s="142" t="s">
        <v>411</v>
      </c>
      <c r="Q19" s="120" t="str">
        <f>IF(SUMIF(Calculations!$BQ$7:$BQ$31,$F19&amp;" Tier 1",Calculations!$J$7:$J$31)=0,"",SUMIF(Calculations!$BQ$7:$BQ$31,$F19&amp;" Tier 1",Calculations!$J$7:$J$31))</f>
        <v/>
      </c>
      <c r="R19" s="97" t="e">
        <f>IF(SUMIF(Calculations!$BQ$7:$BQ$31,$F19&amp;" Tier 1",Calculations!#REF!)=0,"",ROUND(SUMIF(Calculations!$BQ$7:$BQ$31,$F19&amp;" Tier 1",Calculations!#REF!)/Q19,3))</f>
        <v>#REF!</v>
      </c>
      <c r="S19" s="98" t="e">
        <f>IF(SUMIF(Calculations!$BQ$7:$BQ$31,$F19&amp;" Tier 1",Calculations!#REF!)=0,"",ROUND(SUMIF(Calculations!$BQ$7:$BQ$31,$F19&amp;" Tier 1",Calculations!#REF!)/Q19,1))</f>
        <v>#REF!</v>
      </c>
      <c r="T19" s="97" t="e">
        <f>IF(SUMIF(Calculations!$BQ$7:$BQ$31,$F19&amp;" Tier 1",Calculations!#REF!)=0,"",ROUND(SUMIF(Calculations!$BQ$7:$BQ$31,$F19&amp;" Tier 1",Calculations!#REF!),3))</f>
        <v>#REF!</v>
      </c>
      <c r="U19" s="98" t="e">
        <f>IF(SUMIF(Calculations!$BQ$7:$BQ$31,$F19&amp;" Tier 1",Calculations!#REF!)=0,"",ROUND(SUMIF(Calculations!$BQ$7:$BQ$31,$F19&amp;" Tier 1",Calculations!#REF!),1))</f>
        <v>#REF!</v>
      </c>
      <c r="V19" s="99" t="e">
        <f>IF(SUMIF(Calculations!$BQ$7:$BQ$31,$F19&amp;" Tier 1",Calculations!#REF!)=0,"",SUMIF(Calculations!$BQ$7:$BQ$31,$F19&amp;" Tier 1",Calculations!#REF!))</f>
        <v>#REF!</v>
      </c>
      <c r="W19" s="71"/>
      <c r="X19" s="189"/>
      <c r="Y19" s="200" t="str">
        <f>IF(SUMIF(Calculations!$BQ$7:$BQ$31,$F19&amp;" Tier 2",Calculations!$J$7:$J$31)=0,"",SUMIF(Calculations!$BQ$7:$BQ$31,$F19&amp;" Tier 2",Calculations!$J$7:$J$31))</f>
        <v/>
      </c>
      <c r="Z19" s="192" t="e">
        <f>IF(SUMIF(Calculations!$BQ$7:$BQ$31,$F19&amp;" Tier 2",Calculations!#REF!)=0,"",ROUND(SUMIF(Calculations!$BQ$7:$BQ$31,$F19&amp;" Tier 2",Calculations!#REF!)/Y19,3))</f>
        <v>#REF!</v>
      </c>
      <c r="AA19" s="193" t="e">
        <f>IF(SUMIF(Calculations!$BQ$7:$BQ$31,$F19&amp;" Tier 2",Calculations!#REF!)=0,"",ROUND(SUMIF(Calculations!$BQ$7:$BQ$31,$F19&amp;" Tier 2",Calculations!#REF!)/Y19,1))</f>
        <v>#REF!</v>
      </c>
      <c r="AB19" s="192" t="e">
        <f>IF(SUMIF(Calculations!$BQ$7:$BQ$31,$F19&amp;" Tier 2",Calculations!#REF!)=0,"",ROUND(SUMIF(Calculations!$BQ$7:$BQ$31,$F19&amp;" Tier 2",Calculations!#REF!),3))</f>
        <v>#REF!</v>
      </c>
      <c r="AC19" s="193" t="e">
        <f>IF(SUMIF(Calculations!$BQ$7:$BQ$31,$F19&amp;" Tier 2",Calculations!#REF!)=0,"",ROUND(SUMIF(Calculations!$BQ$7:$BQ$31,$F19&amp;" Tier 2",Calculations!#REF!),1))</f>
        <v>#REF!</v>
      </c>
      <c r="AD19" s="194" t="e">
        <f>IF(SUMIF(Calculations!$BQ$7:$BQ$31,$F19&amp;" Tier 2",Calculations!#REF!)=0,"",SUMIF(Calculations!$BQ$7:$BQ$31,$F19&amp;" Tier 2",Calculations!#REF!))</f>
        <v>#REF!</v>
      </c>
    </row>
    <row r="20" spans="2:32" s="55" customFormat="1" ht="14.5" thickBot="1" x14ac:dyDescent="0.35">
      <c r="B20" s="54"/>
      <c r="C20" s="1192"/>
      <c r="D20" s="1189"/>
      <c r="E20" s="118" t="s">
        <v>99</v>
      </c>
      <c r="F20" s="111" t="str">
        <f>C19&amp;" "&amp;D19&amp;" "&amp;E20</f>
        <v>Air Conditioners - Water &amp; Evaporatively Cooled All Sizes Single Package</v>
      </c>
      <c r="G20" s="71"/>
      <c r="H20" s="190"/>
      <c r="I20" s="195" t="str">
        <f>IF(SUMIF(Calculations!$BQ$7:$BQ$31,$F20&amp;" Tier 0",Calculations!$J$7:$J$31)=0,"",SUMIF(Calculations!$BQ$7:$BQ$31,$F20&amp;" Tier 0",Calculations!$J$7:$J$31))</f>
        <v/>
      </c>
      <c r="J20" s="196" t="e">
        <f>IF(SUMIF(Calculations!$BQ$7:$BQ$31,$F20&amp;" Tier 0",Calculations!#REF!)=0,"",ROUND(SUMIF(Calculations!$BQ$7:$BQ$31,$F20&amp;" Tier 0",Calculations!#REF!)/I20,3))</f>
        <v>#REF!</v>
      </c>
      <c r="K20" s="197" t="e">
        <f>IF(SUMIF(Calculations!$BQ$7:$BQ$31,$F20&amp;" Tier 0",Calculations!#REF!)=0,"",ROUND(SUMIF(Calculations!$BQ$7:$BQ$31,$F20&amp;" Tier 0",Calculations!#REF!)/I20,1))</f>
        <v>#REF!</v>
      </c>
      <c r="L20" s="196" t="e">
        <f>IF(SUMIF(Calculations!$BQ$7:$BQ$31,$F20&amp;" Tier 0",Calculations!#REF!)=0,"",ROUND(SUMIF(Calculations!$BQ$7:$BQ$31,$F20&amp;" Tier 0",Calculations!#REF!),3))</f>
        <v>#REF!</v>
      </c>
      <c r="M20" s="197" t="e">
        <f>IF(SUMIF(Calculations!$BQ$7:$BQ$31,$F20&amp;" Tier 0",Calculations!#REF!)=0,"",ROUND(SUMIF(Calculations!$BQ$7:$BQ$31,$F20&amp;" Tier 0",Calculations!#REF!),1))</f>
        <v>#REF!</v>
      </c>
      <c r="N20" s="198" t="e">
        <f>IF(SUMIF(Calculations!$BQ$7:$BQ$31,$F20&amp;" Tier 0",Calculations!#REF!)=0,"",SUMIF(Calculations!$BQ$7:$BQ$31,$F20&amp;" Tier 0",Calculations!#REF!))</f>
        <v>#REF!</v>
      </c>
      <c r="O20" s="71"/>
      <c r="P20" s="144" t="s">
        <v>412</v>
      </c>
      <c r="Q20" s="122" t="str">
        <f>IF(SUMIF(Calculations!$BQ$7:$BQ$31,$F20&amp;" Tier 1",Calculations!$J$7:$J$31)=0,"",SUMIF(Calculations!$BQ$7:$BQ$31,$F20&amp;" Tier 1",Calculations!$J$7:$J$31))</f>
        <v/>
      </c>
      <c r="R20" s="101" t="e">
        <f>IF(SUMIF(Calculations!$BQ$7:$BQ$31,$F20&amp;" Tier 1",Calculations!#REF!)=0,"",ROUND(SUMIF(Calculations!$BQ$7:$BQ$31,$F20&amp;" Tier 1",Calculations!#REF!)/Q20,3))</f>
        <v>#REF!</v>
      </c>
      <c r="S20" s="102" t="e">
        <f>IF(SUMIF(Calculations!$BQ$7:$BQ$31,$F20&amp;" Tier 1",Calculations!#REF!)=0,"",ROUND(SUMIF(Calculations!$BQ$7:$BQ$31,$F20&amp;" Tier 1",Calculations!#REF!)/Q20,1))</f>
        <v>#REF!</v>
      </c>
      <c r="T20" s="101" t="e">
        <f>IF(SUMIF(Calculations!$BQ$7:$BQ$31,$F20&amp;" Tier 1",Calculations!#REF!)=0,"",ROUND(SUMIF(Calculations!$BQ$7:$BQ$31,$F20&amp;" Tier 1",Calculations!#REF!),3))</f>
        <v>#REF!</v>
      </c>
      <c r="U20" s="102" t="e">
        <f>IF(SUMIF(Calculations!$BQ$7:$BQ$31,$F20&amp;" Tier 1",Calculations!#REF!)=0,"",ROUND(SUMIF(Calculations!$BQ$7:$BQ$31,$F20&amp;" Tier 1",Calculations!#REF!),1))</f>
        <v>#REF!</v>
      </c>
      <c r="V20" s="103" t="e">
        <f>IF(SUMIF(Calculations!$BQ$7:$BQ$31,$F20&amp;" Tier 1",Calculations!#REF!)=0,"",SUMIF(Calculations!$BQ$7:$BQ$31,$F20&amp;" Tier 1",Calculations!#REF!))</f>
        <v>#REF!</v>
      </c>
      <c r="W20" s="71"/>
      <c r="X20" s="190"/>
      <c r="Y20" s="205" t="str">
        <f>IF(SUMIF(Calculations!$BQ$7:$BQ$31,$F20&amp;" Tier 2",Calculations!$J$7:$J$31)=0,"",SUMIF(Calculations!$BQ$7:$BQ$31,$F20&amp;" Tier 2",Calculations!$J$7:$J$31))</f>
        <v/>
      </c>
      <c r="Z20" s="196" t="e">
        <f>IF(SUMIF(Calculations!$BQ$7:$BQ$31,$F20&amp;" Tier 2",Calculations!#REF!)=0,"",ROUND(SUMIF(Calculations!$BQ$7:$BQ$31,$F20&amp;" Tier 2",Calculations!#REF!)/Y20,3))</f>
        <v>#REF!</v>
      </c>
      <c r="AA20" s="197" t="e">
        <f>IF(SUMIF(Calculations!$BQ$7:$BQ$31,$F20&amp;" Tier 2",Calculations!#REF!)=0,"",ROUND(SUMIF(Calculations!$BQ$7:$BQ$31,$F20&amp;" Tier 2",Calculations!#REF!)/Y20,1))</f>
        <v>#REF!</v>
      </c>
      <c r="AB20" s="196" t="e">
        <f>IF(SUMIF(Calculations!$BQ$7:$BQ$31,$F20&amp;" Tier 2",Calculations!#REF!)=0,"",ROUND(SUMIF(Calculations!$BQ$7:$BQ$31,$F20&amp;" Tier 2",Calculations!#REF!),3))</f>
        <v>#REF!</v>
      </c>
      <c r="AC20" s="197" t="e">
        <f>IF(SUMIF(Calculations!$BQ$7:$BQ$31,$F20&amp;" Tier 2",Calculations!#REF!)=0,"",ROUND(SUMIF(Calculations!$BQ$7:$BQ$31,$F20&amp;" Tier 2",Calculations!#REF!),1))</f>
        <v>#REF!</v>
      </c>
      <c r="AD20" s="198" t="e">
        <f>IF(SUMIF(Calculations!$BQ$7:$BQ$31,$F20&amp;" Tier 2",Calculations!#REF!)=0,"",SUMIF(Calculations!$BQ$7:$BQ$31,$F20&amp;" Tier 2",Calculations!#REF!))</f>
        <v>#REF!</v>
      </c>
    </row>
    <row r="21" spans="2:32" s="55" customFormat="1" ht="16.5" customHeight="1" thickBot="1" x14ac:dyDescent="0.35">
      <c r="B21" s="54"/>
      <c r="C21" s="76"/>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row>
    <row r="22" spans="2:32" s="73" customFormat="1" ht="41.25" customHeight="1" thickBot="1" x14ac:dyDescent="0.45">
      <c r="C22" s="1179" t="s">
        <v>108</v>
      </c>
      <c r="D22" s="1180"/>
      <c r="E22" s="1180"/>
      <c r="F22" s="1181"/>
      <c r="G22" s="74"/>
      <c r="H22" s="74"/>
      <c r="I22" s="1179" t="s">
        <v>170</v>
      </c>
      <c r="J22" s="1180"/>
      <c r="K22" s="1180"/>
      <c r="L22" s="1180"/>
      <c r="M22" s="1180"/>
      <c r="N22" s="1181"/>
      <c r="O22" s="79"/>
      <c r="P22" s="79"/>
      <c r="Q22" s="1179" t="s">
        <v>219</v>
      </c>
      <c r="R22" s="1180"/>
      <c r="S22" s="1180"/>
      <c r="T22" s="1180"/>
      <c r="U22" s="1180"/>
      <c r="V22" s="1180"/>
      <c r="W22" s="1180"/>
      <c r="X22" s="1180"/>
      <c r="Y22" s="1180"/>
      <c r="Z22" s="1180"/>
      <c r="AA22" s="1180"/>
      <c r="AB22" s="1180"/>
      <c r="AC22" s="1180"/>
      <c r="AD22" s="1181"/>
    </row>
    <row r="23" spans="2:32" s="73" customFormat="1" ht="18.5" thickBot="1" x14ac:dyDescent="0.45">
      <c r="C23" s="1186"/>
      <c r="D23" s="1187"/>
      <c r="E23" s="1188"/>
      <c r="F23" s="123"/>
      <c r="G23" s="79"/>
      <c r="H23" s="79"/>
      <c r="I23" s="1186"/>
      <c r="J23" s="1187"/>
      <c r="K23" s="1187"/>
      <c r="L23" s="1187"/>
      <c r="M23" s="1187"/>
      <c r="N23" s="1188"/>
      <c r="O23" s="79"/>
      <c r="P23" s="79"/>
      <c r="Q23" s="1193" t="s">
        <v>122</v>
      </c>
      <c r="R23" s="1194"/>
      <c r="S23" s="1194"/>
      <c r="T23" s="1194"/>
      <c r="U23" s="1194"/>
      <c r="V23" s="1195"/>
      <c r="W23" s="79"/>
      <c r="X23" s="79"/>
      <c r="Y23" s="1193" t="s">
        <v>121</v>
      </c>
      <c r="Z23" s="1194"/>
      <c r="AA23" s="1194"/>
      <c r="AB23" s="1194"/>
      <c r="AC23" s="1194"/>
      <c r="AD23" s="1195"/>
    </row>
    <row r="24" spans="2:32" s="55" customFormat="1" ht="28.5" thickBot="1" x14ac:dyDescent="0.35">
      <c r="C24" s="112" t="s">
        <v>9</v>
      </c>
      <c r="D24" s="127" t="s">
        <v>24</v>
      </c>
      <c r="E24" s="128" t="s">
        <v>10</v>
      </c>
      <c r="F24" s="107" t="s">
        <v>32</v>
      </c>
      <c r="G24" s="72"/>
      <c r="H24" s="145" t="s">
        <v>328</v>
      </c>
      <c r="I24" s="112" t="s">
        <v>28</v>
      </c>
      <c r="J24" s="113" t="s">
        <v>228</v>
      </c>
      <c r="K24" s="113" t="s">
        <v>227</v>
      </c>
      <c r="L24" s="113" t="s">
        <v>229</v>
      </c>
      <c r="M24" s="113" t="s">
        <v>230</v>
      </c>
      <c r="N24" s="114" t="s">
        <v>29</v>
      </c>
      <c r="O24" s="77"/>
      <c r="P24" s="145" t="s">
        <v>328</v>
      </c>
      <c r="Q24" s="112" t="s">
        <v>28</v>
      </c>
      <c r="R24" s="113" t="s">
        <v>228</v>
      </c>
      <c r="S24" s="113" t="s">
        <v>227</v>
      </c>
      <c r="T24" s="113" t="s">
        <v>229</v>
      </c>
      <c r="U24" s="113" t="s">
        <v>230</v>
      </c>
      <c r="V24" s="114" t="s">
        <v>29</v>
      </c>
      <c r="W24" s="77"/>
      <c r="X24" s="145" t="s">
        <v>328</v>
      </c>
      <c r="Y24" s="112" t="s">
        <v>28</v>
      </c>
      <c r="Z24" s="113" t="s">
        <v>228</v>
      </c>
      <c r="AA24" s="113" t="s">
        <v>227</v>
      </c>
      <c r="AB24" s="113" t="s">
        <v>229</v>
      </c>
      <c r="AC24" s="113" t="s">
        <v>230</v>
      </c>
      <c r="AD24" s="114" t="s">
        <v>29</v>
      </c>
    </row>
    <row r="25" spans="2:32" s="55" customFormat="1" ht="36.65" customHeight="1" thickBot="1" x14ac:dyDescent="0.35">
      <c r="C25" s="104" t="s">
        <v>176</v>
      </c>
      <c r="D25" s="105" t="s">
        <v>90</v>
      </c>
      <c r="E25" s="115" t="s">
        <v>172</v>
      </c>
      <c r="F25" s="108" t="str">
        <f>C25&amp;" "&amp;D25&amp;" "&amp;E25</f>
        <v>Ductless Mini-Split Heat Pump &lt; 5.4 Tons All Types</v>
      </c>
      <c r="G25" s="71"/>
      <c r="H25" s="141" t="s">
        <v>413</v>
      </c>
      <c r="I25" s="119" t="str">
        <f>IF(SUMIF(Calculations!$BQ$7:$BQ$31,$F25&amp;" Tier 0",Calculations!$J$7:$J$31)=0,"",SUMIF(Calculations!$BQ$7:$BQ$31,$F25&amp;" Tier 0",Calculations!$J$7:$J$31))</f>
        <v/>
      </c>
      <c r="J25" s="93" t="e">
        <f>IF(SUMIF(Calculations!$BQ$7:$BQ$31,$F25&amp;" Tier 0",Calculations!#REF!)=0,"",ROUND(SUMIF(Calculations!$BQ$7:$BQ$31,$F25&amp;" Tier 0",Calculations!#REF!)/I25,3))</f>
        <v>#REF!</v>
      </c>
      <c r="K25" s="106" t="e">
        <f>IF(SUMIF(Calculations!$BQ$7:$BQ$31,$F25&amp;" Tier 0",Calculations!#REF!)=0,"",ROUND(SUMIF(Calculations!$BQ$7:$BQ$31,$F25&amp;" Tier 0",Calculations!#REF!)/I25,1))</f>
        <v>#REF!</v>
      </c>
      <c r="L25" s="93" t="e">
        <f>IF(SUMIF(Calculations!$BQ$7:$BQ$31,$F25&amp;" Tier 0",Calculations!#REF!)=0,"",ROUND(SUMIF(Calculations!$BQ$7:$BQ$31,$F25&amp;" Tier 0",Calculations!#REF!),3))</f>
        <v>#REF!</v>
      </c>
      <c r="M25" s="106" t="e">
        <f>IF(SUMIF(Calculations!$BQ$7:$BQ$31,$F25&amp;" Tier 0",Calculations!#REF!)=0,"",ROUND(SUMIF(Calculations!$BQ$7:$BQ$31,$F25&amp;" Tier 0",Calculations!#REF!),1))</f>
        <v>#REF!</v>
      </c>
      <c r="N25" s="91" t="e">
        <f>IF(SUMIF(Calculations!$BQ$7:$BQ$31,$F25&amp;" Tier 0",Calculations!#REF!)=0,"",SUMIF(Calculations!$BQ$7:$BQ$31,$F25&amp;" Tier 0",Calculations!#REF!))</f>
        <v>#REF!</v>
      </c>
      <c r="O25" s="71"/>
      <c r="P25" s="141" t="s">
        <v>414</v>
      </c>
      <c r="Q25" s="119" t="str">
        <f>IF(SUMIF(Calculations!$BQ$7:$BQ$31,$F25&amp;" Tier 1",Calculations!$J$7:$J$31)=0,"",SUMIF(Calculations!$BQ$7:$BQ$31,$F25&amp;" Tier 1",Calculations!$J$7:$J$31))</f>
        <v/>
      </c>
      <c r="R25" s="93" t="e">
        <f>IF(SUMIF(Calculations!$BQ$7:$BQ$31,$F25&amp;" Tier 1",Calculations!#REF!)=0,"",ROUND(SUMIF(Calculations!$BQ$7:$BQ$31,$F25&amp;" Tier 2",Calculations!#REF!)/Q25,3))</f>
        <v>#REF!</v>
      </c>
      <c r="S25" s="106" t="e">
        <f>IF(SUMIF(Calculations!$BQ$7:$BQ$31,$F25&amp;" Tier 1",Calculations!#REF!)=0,"",ROUND(SUMIF(Calculations!$BQ$7:$BQ$31,$F25&amp;" Tier 1",Calculations!#REF!)/Q25,1))</f>
        <v>#REF!</v>
      </c>
      <c r="T25" s="93" t="e">
        <f>IF(SUMIF(Calculations!$BQ$7:$BQ$31,$F25&amp;" Tier 1",Calculations!#REF!)=0,"",ROUND(SUMIF(Calculations!$BQ$7:$BQ$31,$F25&amp;" Tier 1",Calculations!#REF!),3))</f>
        <v>#REF!</v>
      </c>
      <c r="U25" s="106" t="e">
        <f>IF(SUMIF(Calculations!$BQ$7:$BQ$31,$F25&amp;" Tier 1",Calculations!#REF!)=0,"",ROUND(SUMIF(Calculations!$BQ$7:$BQ$31,$F25&amp;" Tier 1",Calculations!#REF!),1))</f>
        <v>#REF!</v>
      </c>
      <c r="V25" s="91" t="e">
        <f>IF(SUMIF(Calculations!$BQ$7:$BQ$31,$F25&amp;" Tier 1",Calculations!#REF!)=0,"",SUMIF(Calculations!$BQ$7:$BQ$31,$F25&amp;" Tier 1",Calculations!#REF!))</f>
        <v>#REF!</v>
      </c>
      <c r="W25" s="71"/>
      <c r="X25" s="141" t="s">
        <v>415</v>
      </c>
      <c r="Y25" s="119" t="str">
        <f>IF(SUMIF(Calculations!$BQ$7:$BQ$31,$F25&amp;" Tier 2",Calculations!$J$7:$J$31)=0,"",SUMIF(Calculations!$BQ$7:$BQ$31,$F25&amp;" Tier 2",Calculations!$J$7:$J$31))</f>
        <v/>
      </c>
      <c r="Z25" s="93" t="e">
        <f>IF(SUMIF(Calculations!$BQ$7:$BQ$31,$F25&amp;" Tier 2",Calculations!#REF!)=0,"",ROUND(SUMIF(Calculations!$BQ$7:$BQ$31,$F25&amp;" Tier 2",Calculations!#REF!)/Y25,3))</f>
        <v>#REF!</v>
      </c>
      <c r="AA25" s="106" t="e">
        <f>IF(SUMIF(Calculations!$BQ$7:$BQ$31,$F25&amp;" Tier 2",Calculations!#REF!)=0,"",ROUND(SUMIF(Calculations!$BQ$7:$BQ$31,$F25&amp;" Tier 2",Calculations!#REF!)/Y25,1))</f>
        <v>#REF!</v>
      </c>
      <c r="AB25" s="93" t="e">
        <f>IF(SUMIF(Calculations!$BQ$7:$BQ$31,$F25&amp;" Tier 2",Calculations!#REF!)=0,"",ROUND(SUMIF(Calculations!$BQ$7:$BQ$31,$F25&amp;" Tier 2",Calculations!#REF!),3))</f>
        <v>#REF!</v>
      </c>
      <c r="AC25" s="106" t="e">
        <f>IF(SUMIF(Calculations!$BQ$7:$BQ$31,$F25&amp;" Tier 2",Calculations!#REF!)=0,"",ROUND(SUMIF(Calculations!$BQ$7:$BQ$31,$F25&amp;" Tier 2",Calculations!#REF!),1))</f>
        <v>#REF!</v>
      </c>
      <c r="AD25" s="91" t="e">
        <f>IF(SUMIF(Calculations!$BQ$7:$BQ$31,$F25&amp;" Tier 2",Calculations!#REF!)=0,"",SUMIF(Calculations!$BQ$7:$BQ$31,$F25&amp;" Tier 2",Calculations!#REF!))</f>
        <v>#REF!</v>
      </c>
    </row>
    <row r="26" spans="2:32" s="55" customFormat="1" ht="14.5" thickBot="1" x14ac:dyDescent="0.35">
      <c r="C26" s="1190" t="s">
        <v>95</v>
      </c>
      <c r="D26" s="1196" t="s">
        <v>90</v>
      </c>
      <c r="E26" s="129" t="s">
        <v>11</v>
      </c>
      <c r="F26" s="124" t="str">
        <f>C26&amp;" "&amp;D26&amp;" "&amp;E26</f>
        <v>Air Cooled Heat Pumps &lt; 5.4 Tons Split System</v>
      </c>
      <c r="G26" s="69"/>
      <c r="H26" s="199"/>
      <c r="I26" s="200" t="str">
        <f>IF(SUMIF(Calculations!$BQ$7:$BQ$31,$F26&amp;" Tier 0",Calculations!$J$7:$J$31)=0,"",SUMIF(Calculations!$BQ$7:$BQ$31,$F26&amp;" Tier 0",Calculations!$J$7:$J$31))</f>
        <v/>
      </c>
      <c r="J26" s="192" t="e">
        <f>IF(SUMIF(Calculations!$BQ$7:$BQ$31,$F26&amp;" Tier 0",Calculations!#REF!)=0,"",ROUND(SUMIF(Calculations!$BQ$7:$BQ$31,$F26&amp;" Tier 0",Calculations!#REF!)/I26,3))</f>
        <v>#REF!</v>
      </c>
      <c r="K26" s="193" t="e">
        <f>IF(SUMIF(Calculations!$BQ$7:$BQ$31,$F26&amp;" Tier 0",Calculations!#REF!)=0,"",ROUND(SUMIF(Calculations!$BQ$7:$BQ$31,$F26&amp;" Tier 0",Calculations!#REF!)/I26,1))</f>
        <v>#REF!</v>
      </c>
      <c r="L26" s="192" t="e">
        <f>IF(SUMIF(Calculations!$BQ$7:$BQ$31,$F26&amp;" Tier 0",Calculations!#REF!)=0,"",ROUND(SUMIF(Calculations!$BQ$7:$BQ$31,$F26&amp;" Tier 0",Calculations!#REF!),3))</f>
        <v>#REF!</v>
      </c>
      <c r="M26" s="193" t="e">
        <f>IF(SUMIF(Calculations!$BQ$7:$BQ$31,$F26&amp;" Tier 0",Calculations!#REF!)=0,"",ROUND(SUMIF(Calculations!$BQ$7:$BQ$31,$F26&amp;" Tier 0",Calculations!#REF!),1))</f>
        <v>#REF!</v>
      </c>
      <c r="N26" s="194" t="e">
        <f>IF(SUMIF(Calculations!$BQ$7:$BQ$31,$F26&amp;" Tier 0",Calculations!#REF!)=0,"",SUMIF(Calculations!$BQ$7:$BQ$31,$F26&amp;" Tier 0",Calculations!#REF!))</f>
        <v>#REF!</v>
      </c>
      <c r="O26" s="69"/>
      <c r="P26" s="141" t="s">
        <v>416</v>
      </c>
      <c r="Q26" s="120" t="str">
        <f>IF(SUMIF(Calculations!$BQ$7:$BQ$31,$F26&amp;" Tier 1",Calculations!$J$7:$J$31)=0,"",SUMIF(Calculations!$BQ$7:$BQ$31,$F26&amp;" Tier 1",Calculations!$J$7:$J$31))</f>
        <v/>
      </c>
      <c r="R26" s="97" t="e">
        <f>IF(SUMIF(Calculations!$BQ$7:$BQ$31,$F26&amp;" Tier 1",Calculations!#REF!)=0,"",ROUND(SUMIF(Calculations!$BQ$7:$BQ$31,$F26&amp;" Tier 2",Calculations!#REF!)/Q26,3))</f>
        <v>#REF!</v>
      </c>
      <c r="S26" s="98" t="e">
        <f>IF(SUMIF(Calculations!$BQ$7:$BQ$31,$F26&amp;" Tier 1",Calculations!#REF!)=0,"",ROUND(SUMIF(Calculations!$BQ$7:$BQ$31,$F26&amp;" Tier 1",Calculations!#REF!)/Q26,1))</f>
        <v>#REF!</v>
      </c>
      <c r="T26" s="97" t="e">
        <f>IF(SUMIF(Calculations!$BQ$7:$BQ$31,$F26&amp;" Tier 1",Calculations!#REF!)=0,"",ROUND(SUMIF(Calculations!$BQ$7:$BQ$31,$F26&amp;" Tier 1",Calculations!#REF!),3))</f>
        <v>#REF!</v>
      </c>
      <c r="U26" s="98" t="e">
        <f>IF(SUMIF(Calculations!$BQ$7:$BQ$31,$F26&amp;" Tier 1",Calculations!#REF!)=0,"",ROUND(SUMIF(Calculations!$BQ$7:$BQ$31,$F26&amp;" Tier 1",Calculations!#REF!),1))</f>
        <v>#REF!</v>
      </c>
      <c r="V26" s="99" t="e">
        <f>IF(SUMIF(Calculations!$BQ$7:$BQ$31,$F26&amp;" Tier 1",Calculations!#REF!)=0,"",SUMIF(Calculations!$BQ$7:$BQ$31,$F26&amp;" Tier 1",Calculations!#REF!))</f>
        <v>#REF!</v>
      </c>
      <c r="W26" s="69"/>
      <c r="X26" s="141" t="s">
        <v>417</v>
      </c>
      <c r="Y26" s="120" t="str">
        <f>IF(SUMIF(Calculations!$BQ$7:$BQ$31,$F26&amp;" Tier 2",Calculations!$J$7:$J$31)=0,"",SUMIF(Calculations!$BQ$7:$BQ$31,$F26&amp;" Tier 2",Calculations!$J$7:$J$31))</f>
        <v/>
      </c>
      <c r="Z26" s="97" t="e">
        <f>IF(SUMIF(Calculations!$BQ$7:$BQ$31,$F26&amp;" Tier 2",Calculations!#REF!)=0,"",ROUND(SUMIF(Calculations!$BQ$7:$BQ$31,$F26&amp;" Tier 2",Calculations!#REF!)/Y26,3))</f>
        <v>#REF!</v>
      </c>
      <c r="AA26" s="98" t="e">
        <f>IF(SUMIF(Calculations!$BQ$7:$BQ$31,$F26&amp;" Tier 2",Calculations!#REF!)=0,"",ROUND(SUMIF(Calculations!$BQ$7:$BQ$31,$F26&amp;" Tier 2",Calculations!#REF!)/Y26,1))</f>
        <v>#REF!</v>
      </c>
      <c r="AB26" s="97" t="e">
        <f>IF(SUMIF(Calculations!$BQ$7:$BQ$31,$F26&amp;" Tier 2",Calculations!#REF!)=0,"",ROUND(SUMIF(Calculations!$BQ$7:$BQ$31,$F26&amp;" Tier 2",Calculations!#REF!),3))</f>
        <v>#REF!</v>
      </c>
      <c r="AC26" s="98" t="e">
        <f>IF(SUMIF(Calculations!$BQ$7:$BQ$31,$F26&amp;" Tier 2",Calculations!#REF!)=0,"",ROUND(SUMIF(Calculations!$BQ$7:$BQ$31,$F26&amp;" Tier 2",Calculations!#REF!),1))</f>
        <v>#REF!</v>
      </c>
      <c r="AD26" s="99" t="e">
        <f>IF(SUMIF(Calculations!$BQ$7:$BQ$31,$F26&amp;" Tier 2",Calculations!#REF!)=0,"",SUMIF(Calculations!$BQ$7:$BQ$31,$F26&amp;" Tier 2",Calculations!#REF!))</f>
        <v>#REF!</v>
      </c>
    </row>
    <row r="27" spans="2:32" s="55" customFormat="1" ht="14.5" thickBot="1" x14ac:dyDescent="0.35">
      <c r="C27" s="1191"/>
      <c r="D27" s="1197"/>
      <c r="E27" s="130" t="s">
        <v>99</v>
      </c>
      <c r="F27" s="70" t="str">
        <f>C26&amp;" "&amp;D26&amp;" "&amp;E27</f>
        <v>Air Cooled Heat Pumps &lt; 5.4 Tons Single Package</v>
      </c>
      <c r="G27" s="69"/>
      <c r="H27" s="199"/>
      <c r="I27" s="201" t="str">
        <f>IF(SUMIF(Calculations!$BQ$7:$BQ$31,$F27&amp;" Tier 0",Calculations!$J$7:$J$31)=0,"",SUMIF(Calculations!$BQ$7:$BQ$31,$F27&amp;" Tier 0",Calculations!$J$7:$J$31))</f>
        <v/>
      </c>
      <c r="J27" s="202" t="e">
        <f>IF(SUMIF(Calculations!$BQ$7:$BQ$31,$F27&amp;" Tier 0",Calculations!#REF!)=0,"",ROUND(SUMIF(Calculations!$BQ$7:$BQ$31,$F27&amp;" Tier 0",Calculations!#REF!)/I27,3))</f>
        <v>#REF!</v>
      </c>
      <c r="K27" s="203" t="e">
        <f>IF(SUMIF(Calculations!$BQ$7:$BQ$31,$F27&amp;" Tier 0",Calculations!#REF!)=0,"",ROUND(SUMIF(Calculations!$BQ$7:$BQ$31,$F27&amp;" Tier 0",Calculations!#REF!)/I27,1))</f>
        <v>#REF!</v>
      </c>
      <c r="L27" s="202" t="e">
        <f>IF(SUMIF(Calculations!$BQ$7:$BQ$31,$F27&amp;" Tier 0",Calculations!#REF!)=0,"",ROUND(SUMIF(Calculations!$BQ$7:$BQ$31,$F27&amp;" Tier 0",Calculations!#REF!),3))</f>
        <v>#REF!</v>
      </c>
      <c r="M27" s="203" t="e">
        <f>IF(SUMIF(Calculations!$BQ$7:$BQ$31,$F27&amp;" Tier 0",Calculations!#REF!)=0,"",ROUND(SUMIF(Calculations!$BQ$7:$BQ$31,$F27&amp;" Tier 0",Calculations!#REF!),1))</f>
        <v>#REF!</v>
      </c>
      <c r="N27" s="204" t="e">
        <f>IF(SUMIF(Calculations!$BQ$7:$BQ$31,$F27&amp;" Tier 0",Calculations!#REF!)=0,"",SUMIF(Calculations!$BQ$7:$BQ$31,$F27&amp;" Tier 0",Calculations!#REF!))</f>
        <v>#REF!</v>
      </c>
      <c r="O27" s="69"/>
      <c r="P27" s="141" t="s">
        <v>418</v>
      </c>
      <c r="Q27" s="121" t="str">
        <f>IF(SUMIF(Calculations!$BQ$7:$BQ$31,$F27&amp;" Tier 1",Calculations!$J$7:$J$31)=0,"",SUMIF(Calculations!$BQ$7:$BQ$31,$F27&amp;" Tier 1",Calculations!$J$7:$J$31))</f>
        <v/>
      </c>
      <c r="R27" s="95" t="e">
        <f>IF(SUMIF(Calculations!$BQ$7:$BQ$31,$F27&amp;" Tier 1",Calculations!#REF!)=0,"",ROUND(SUMIF(Calculations!$BQ$7:$BQ$31,$F27&amp;" Tier 2",Calculations!#REF!)/Q27,3))</f>
        <v>#REF!</v>
      </c>
      <c r="S27" s="94" t="e">
        <f>IF(SUMIF(Calculations!$BQ$7:$BQ$31,$F27&amp;" Tier 1",Calculations!#REF!)=0,"",ROUND(SUMIF(Calculations!$BQ$7:$BQ$31,$F27&amp;" Tier 1",Calculations!#REF!)/Q27,1))</f>
        <v>#REF!</v>
      </c>
      <c r="T27" s="95" t="e">
        <f>IF(SUMIF(Calculations!$BQ$7:$BQ$31,$F27&amp;" Tier 1",Calculations!#REF!)=0,"",ROUND(SUMIF(Calculations!$BQ$7:$BQ$31,$F27&amp;" Tier 1",Calculations!#REF!),3))</f>
        <v>#REF!</v>
      </c>
      <c r="U27" s="94" t="e">
        <f>IF(SUMIF(Calculations!$BQ$7:$BQ$31,$F27&amp;" Tier 1",Calculations!#REF!)=0,"",ROUND(SUMIF(Calculations!$BQ$7:$BQ$31,$F27&amp;" Tier 1",Calculations!#REF!),1))</f>
        <v>#REF!</v>
      </c>
      <c r="V27" s="100" t="e">
        <f>IF(SUMIF(Calculations!$BQ$7:$BQ$31,$F27&amp;" Tier 1",Calculations!#REF!)=0,"",SUMIF(Calculations!$BQ$7:$BQ$31,$F27&amp;" Tier 1",Calculations!#REF!))</f>
        <v>#REF!</v>
      </c>
      <c r="W27" s="69"/>
      <c r="X27" s="141" t="s">
        <v>419</v>
      </c>
      <c r="Y27" s="121" t="str">
        <f>IF(SUMIF(Calculations!$BQ$7:$BQ$31,$F27&amp;" Tier 2",Calculations!$J$7:$J$31)=0,"",SUMIF(Calculations!$BQ$7:$BQ$31,$F27&amp;" Tier 2",Calculations!$J$7:$J$31))</f>
        <v/>
      </c>
      <c r="Z27" s="95" t="e">
        <f>IF(SUMIF(Calculations!$BQ$7:$BQ$31,$F27&amp;" Tier 2",Calculations!#REF!)=0,"",ROUND(SUMIF(Calculations!$BQ$7:$BQ$31,$F27&amp;" Tier 2",Calculations!#REF!)/Y27,3))</f>
        <v>#REF!</v>
      </c>
      <c r="AA27" s="94" t="e">
        <f>IF(SUMIF(Calculations!$BQ$7:$BQ$31,$F27&amp;" Tier 2",Calculations!#REF!)=0,"",ROUND(SUMIF(Calculations!$BQ$7:$BQ$31,$F27&amp;" Tier 2",Calculations!#REF!)/Y27,1))</f>
        <v>#REF!</v>
      </c>
      <c r="AB27" s="95" t="e">
        <f>IF(SUMIF(Calculations!$BQ$7:$BQ$31,$F27&amp;" Tier 2",Calculations!#REF!)=0,"",ROUND(SUMIF(Calculations!$BQ$7:$BQ$31,$F27&amp;" Tier 2",Calculations!#REF!),3))</f>
        <v>#REF!</v>
      </c>
      <c r="AC27" s="94" t="e">
        <f>IF(SUMIF(Calculations!$BQ$7:$BQ$31,$F27&amp;" Tier 2",Calculations!#REF!)=0,"",ROUND(SUMIF(Calculations!$BQ$7:$BQ$31,$F27&amp;" Tier 2",Calculations!#REF!),1))</f>
        <v>#REF!</v>
      </c>
      <c r="AD27" s="100" t="e">
        <f>IF(SUMIF(Calculations!$BQ$7:$BQ$31,$F27&amp;" Tier 2",Calculations!#REF!)=0,"",SUMIF(Calculations!$BQ$7:$BQ$31,$F27&amp;" Tier 2",Calculations!#REF!))</f>
        <v>#REF!</v>
      </c>
    </row>
    <row r="28" spans="2:32" s="55" customFormat="1" ht="14.5" thickBot="1" x14ac:dyDescent="0.35">
      <c r="C28" s="1191"/>
      <c r="D28" s="1172" t="s">
        <v>106</v>
      </c>
      <c r="E28" s="130" t="s">
        <v>11</v>
      </c>
      <c r="F28" s="70" t="str">
        <f>C26&amp;" "&amp;D28&amp;" "&amp;E28</f>
        <v>Air Cooled Heat Pumps ≥ 5.4 &amp; &lt;11.25 tons Split System</v>
      </c>
      <c r="G28" s="69"/>
      <c r="H28" s="199"/>
      <c r="I28" s="201" t="str">
        <f>IF(SUMIF(Calculations!$BQ$7:$BQ$31,$F28&amp;" Tier 0",Calculations!$J$7:$J$31)=0,"",SUMIF(Calculations!$BQ$7:$BQ$31,$F28&amp;" Tier 0",Calculations!$J$7:$J$31))</f>
        <v/>
      </c>
      <c r="J28" s="202" t="e">
        <f>IF(SUMIF(Calculations!$BQ$7:$BQ$31,$F28&amp;" Tier 0",Calculations!#REF!)=0,"",ROUND(SUMIF(Calculations!$BQ$7:$BQ$31,$F28&amp;" Tier 0",Calculations!#REF!)/I28,3))</f>
        <v>#REF!</v>
      </c>
      <c r="K28" s="203" t="e">
        <f>IF(SUMIF(Calculations!$BQ$7:$BQ$31,$F28&amp;" Tier 0",Calculations!#REF!)=0,"",ROUND(SUMIF(Calculations!$BQ$7:$BQ$31,$F28&amp;" Tier 0",Calculations!#REF!)/I28,1))</f>
        <v>#REF!</v>
      </c>
      <c r="L28" s="202" t="e">
        <f>IF(SUMIF(Calculations!$BQ$7:$BQ$31,$F28&amp;" Tier 0",Calculations!#REF!)=0,"",ROUND(SUMIF(Calculations!$BQ$7:$BQ$31,$F28&amp;" Tier 0",Calculations!#REF!),3))</f>
        <v>#REF!</v>
      </c>
      <c r="M28" s="203" t="e">
        <f>IF(SUMIF(Calculations!$BQ$7:$BQ$31,$F28&amp;" Tier 0",Calculations!#REF!)=0,"",ROUND(SUMIF(Calculations!$BQ$7:$BQ$31,$F28&amp;" Tier 0",Calculations!#REF!),1))</f>
        <v>#REF!</v>
      </c>
      <c r="N28" s="204" t="e">
        <f>IF(SUMIF(Calculations!$BQ$7:$BQ$31,$F28&amp;" Tier 0",Calculations!#REF!)=0,"",SUMIF(Calculations!$BQ$7:$BQ$31,$F28&amp;" Tier 0",Calculations!#REF!))</f>
        <v>#REF!</v>
      </c>
      <c r="O28" s="69"/>
      <c r="P28" s="141" t="s">
        <v>420</v>
      </c>
      <c r="Q28" s="121" t="str">
        <f>IF(SUMIF(Calculations!$BQ$7:$BQ$31,$F28&amp;" Tier 1",Calculations!$J$7:$J$31)=0,"",SUMIF(Calculations!$BQ$7:$BQ$31,$F28&amp;" Tier 1",Calculations!$J$7:$J$31))</f>
        <v/>
      </c>
      <c r="R28" s="95" t="e">
        <f>IF(SUMIF(Calculations!$BQ$7:$BQ$31,$F28&amp;" Tier 1",Calculations!#REF!)=0,"",ROUND(SUMIF(Calculations!$BQ$7:$BQ$31,$F28&amp;" Tier 2",Calculations!#REF!)/Q28,3))</f>
        <v>#REF!</v>
      </c>
      <c r="S28" s="94" t="e">
        <f>IF(SUMIF(Calculations!$BQ$7:$BQ$31,$F28&amp;" Tier 1",Calculations!#REF!)=0,"",ROUND(SUMIF(Calculations!$BQ$7:$BQ$31,$F28&amp;" Tier 1",Calculations!#REF!)/Q28,1))</f>
        <v>#REF!</v>
      </c>
      <c r="T28" s="95" t="e">
        <f>IF(SUMIF(Calculations!$BQ$7:$BQ$31,$F28&amp;" Tier 1",Calculations!#REF!)=0,"",ROUND(SUMIF(Calculations!$BQ$7:$BQ$31,$F28&amp;" Tier 1",Calculations!#REF!),3))</f>
        <v>#REF!</v>
      </c>
      <c r="U28" s="94" t="e">
        <f>IF(SUMIF(Calculations!$BQ$7:$BQ$31,$F28&amp;" Tier 1",Calculations!#REF!)=0,"",ROUND(SUMIF(Calculations!$BQ$7:$BQ$31,$F28&amp;" Tier 1",Calculations!#REF!),1))</f>
        <v>#REF!</v>
      </c>
      <c r="V28" s="100" t="e">
        <f>IF(SUMIF(Calculations!$BQ$7:$BQ$31,$F28&amp;" Tier 1",Calculations!#REF!)=0,"",SUMIF(Calculations!$BQ$7:$BQ$31,$F28&amp;" Tier 1",Calculations!#REF!))</f>
        <v>#REF!</v>
      </c>
      <c r="W28" s="69"/>
      <c r="X28" s="199"/>
      <c r="Y28" s="201" t="str">
        <f>IF(SUMIF(Calculations!$BQ$7:$BQ$31,$F28&amp;" Tier 2",Calculations!$J$7:$J$31)=0,"",SUMIF(Calculations!$BQ$7:$BQ$31,$F28&amp;" Tier 2",Calculations!$J$7:$J$31))</f>
        <v/>
      </c>
      <c r="Z28" s="202" t="e">
        <f>IF(SUMIF(Calculations!$BQ$7:$BQ$31,$F28&amp;" Tier 2",Calculations!#REF!)=0,"",ROUND(SUMIF(Calculations!$BQ$7:$BQ$31,$F28&amp;" Tier 2",Calculations!#REF!)/Y28,3))</f>
        <v>#REF!</v>
      </c>
      <c r="AA28" s="203" t="e">
        <f>IF(SUMIF(Calculations!$BQ$7:$BQ$31,$F28&amp;" Tier 2",Calculations!#REF!)=0,"",ROUND(SUMIF(Calculations!$BQ$7:$BQ$31,$F28&amp;" Tier 2",Calculations!#REF!)/Y28,1))</f>
        <v>#REF!</v>
      </c>
      <c r="AB28" s="202" t="e">
        <f>IF(SUMIF(Calculations!$BQ$7:$BQ$31,$F28&amp;" Tier 2",Calculations!#REF!)=0,"",ROUND(SUMIF(Calculations!$BQ$7:$BQ$31,$F28&amp;" Tier 2",Calculations!#REF!),3))</f>
        <v>#REF!</v>
      </c>
      <c r="AC28" s="203" t="e">
        <f>IF(SUMIF(Calculations!$BQ$7:$BQ$31,$F28&amp;" Tier 2",Calculations!#REF!)=0,"",ROUND(SUMIF(Calculations!$BQ$7:$BQ$31,$F28&amp;" Tier 2",Calculations!#REF!),1))</f>
        <v>#REF!</v>
      </c>
      <c r="AD28" s="204" t="e">
        <f>IF(SUMIF(Calculations!$BQ$7:$BQ$31,$F28&amp;" Tier 2",Calculations!#REF!)=0,"",SUMIF(Calculations!$BQ$7:$BQ$31,$F28&amp;" Tier 2",Calculations!#REF!))</f>
        <v>#REF!</v>
      </c>
    </row>
    <row r="29" spans="2:32" s="55" customFormat="1" ht="14.5" thickBot="1" x14ac:dyDescent="0.35">
      <c r="C29" s="1191"/>
      <c r="D29" s="1172"/>
      <c r="E29" s="130" t="s">
        <v>99</v>
      </c>
      <c r="F29" s="70" t="str">
        <f>C26&amp;" "&amp;D28&amp;" "&amp;E29</f>
        <v>Air Cooled Heat Pumps ≥ 5.4 &amp; &lt;11.25 tons Single Package</v>
      </c>
      <c r="G29" s="69"/>
      <c r="H29" s="199"/>
      <c r="I29" s="201" t="str">
        <f>IF(SUMIF(Calculations!$BQ$7:$BQ$31,$F29&amp;" Tier 0",Calculations!$J$7:$J$31)=0,"",SUMIF(Calculations!$BQ$7:$BQ$31,$F29&amp;" Tier 0",Calculations!$J$7:$J$31))</f>
        <v/>
      </c>
      <c r="J29" s="202" t="e">
        <f>IF(SUMIF(Calculations!$BQ$7:$BQ$31,$F29&amp;" Tier 0",Calculations!#REF!)=0,"",ROUND(SUMIF(Calculations!$BQ$7:$BQ$31,$F29&amp;" Tier 0",Calculations!#REF!)/I29,3))</f>
        <v>#REF!</v>
      </c>
      <c r="K29" s="203" t="e">
        <f>IF(SUMIF(Calculations!$BQ$7:$BQ$31,$F29&amp;" Tier 0",Calculations!#REF!)=0,"",ROUND(SUMIF(Calculations!$BQ$7:$BQ$31,$F29&amp;" Tier 0",Calculations!#REF!)/I29,1))</f>
        <v>#REF!</v>
      </c>
      <c r="L29" s="202" t="e">
        <f>IF(SUMIF(Calculations!$BQ$7:$BQ$31,$F29&amp;" Tier 0",Calculations!#REF!)=0,"",ROUND(SUMIF(Calculations!$BQ$7:$BQ$31,$F29&amp;" Tier 0",Calculations!#REF!),3))</f>
        <v>#REF!</v>
      </c>
      <c r="M29" s="203" t="e">
        <f>IF(SUMIF(Calculations!$BQ$7:$BQ$31,$F29&amp;" Tier 0",Calculations!#REF!)=0,"",ROUND(SUMIF(Calculations!$BQ$7:$BQ$31,$F29&amp;" Tier 0",Calculations!#REF!),1))</f>
        <v>#REF!</v>
      </c>
      <c r="N29" s="204" t="e">
        <f>IF(SUMIF(Calculations!$BQ$7:$BQ$31,$F29&amp;" Tier 0",Calculations!#REF!)=0,"",SUMIF(Calculations!$BQ$7:$BQ$31,$F29&amp;" Tier 0",Calculations!#REF!))</f>
        <v>#REF!</v>
      </c>
      <c r="O29" s="69"/>
      <c r="P29" s="141" t="s">
        <v>421</v>
      </c>
      <c r="Q29" s="121" t="str">
        <f>IF(SUMIF(Calculations!$BQ$7:$BQ$31,$F29&amp;" Tier 1",Calculations!$J$7:$J$31)=0,"",SUMIF(Calculations!$BQ$7:$BQ$31,$F29&amp;" Tier 1",Calculations!$J$7:$J$31))</f>
        <v/>
      </c>
      <c r="R29" s="95" t="e">
        <f>IF(SUMIF(Calculations!$BQ$7:$BQ$31,$F29&amp;" Tier 1",Calculations!#REF!)=0,"",ROUND(SUMIF(Calculations!$BQ$7:$BQ$31,$F29&amp;" Tier 2",Calculations!#REF!)/Q29,3))</f>
        <v>#REF!</v>
      </c>
      <c r="S29" s="94" t="e">
        <f>IF(SUMIF(Calculations!$BQ$7:$BQ$31,$F29&amp;" Tier 1",Calculations!#REF!)=0,"",ROUND(SUMIF(Calculations!$BQ$7:$BQ$31,$F29&amp;" Tier 1",Calculations!#REF!)/Q29,1))</f>
        <v>#REF!</v>
      </c>
      <c r="T29" s="95" t="e">
        <f>IF(SUMIF(Calculations!$BQ$7:$BQ$31,$F29&amp;" Tier 1",Calculations!#REF!)=0,"",ROUND(SUMIF(Calculations!$BQ$7:$BQ$31,$F29&amp;" Tier 1",Calculations!#REF!),3))</f>
        <v>#REF!</v>
      </c>
      <c r="U29" s="94" t="e">
        <f>IF(SUMIF(Calculations!$BQ$7:$BQ$31,$F29&amp;" Tier 1",Calculations!#REF!)=0,"",ROUND(SUMIF(Calculations!$BQ$7:$BQ$31,$F29&amp;" Tier 1",Calculations!#REF!),1))</f>
        <v>#REF!</v>
      </c>
      <c r="V29" s="100" t="e">
        <f>IF(SUMIF(Calculations!$BQ$7:$BQ$31,$F29&amp;" Tier 1",Calculations!#REF!)=0,"",SUMIF(Calculations!$BQ$7:$BQ$31,$F29&amp;" Tier 1",Calculations!#REF!))</f>
        <v>#REF!</v>
      </c>
      <c r="W29" s="69"/>
      <c r="X29" s="199"/>
      <c r="Y29" s="201" t="str">
        <f>IF(SUMIF(Calculations!$BQ$7:$BQ$31,$F29&amp;" Tier 2",Calculations!$J$7:$J$31)=0,"",SUMIF(Calculations!$BQ$7:$BQ$31,$F29&amp;" Tier 2",Calculations!$J$7:$J$31))</f>
        <v/>
      </c>
      <c r="Z29" s="202" t="e">
        <f>IF(SUMIF(Calculations!$BQ$7:$BQ$31,$F29&amp;" Tier 2",Calculations!#REF!)=0,"",ROUND(SUMIF(Calculations!$BQ$7:$BQ$31,$F29&amp;" Tier 2",Calculations!#REF!)/Y29,3))</f>
        <v>#REF!</v>
      </c>
      <c r="AA29" s="203" t="e">
        <f>IF(SUMIF(Calculations!$BQ$7:$BQ$31,$F29&amp;" Tier 2",Calculations!#REF!)=0,"",ROUND(SUMIF(Calculations!$BQ$7:$BQ$31,$F29&amp;" Tier 2",Calculations!#REF!)/Y29,1))</f>
        <v>#REF!</v>
      </c>
      <c r="AB29" s="202" t="e">
        <f>IF(SUMIF(Calculations!$BQ$7:$BQ$31,$F29&amp;" Tier 2",Calculations!#REF!)=0,"",ROUND(SUMIF(Calculations!$BQ$7:$BQ$31,$F29&amp;" Tier 2",Calculations!#REF!),3))</f>
        <v>#REF!</v>
      </c>
      <c r="AC29" s="203" t="e">
        <f>IF(SUMIF(Calculations!$BQ$7:$BQ$31,$F29&amp;" Tier 2",Calculations!#REF!)=0,"",ROUND(SUMIF(Calculations!$BQ$7:$BQ$31,$F29&amp;" Tier 2",Calculations!#REF!),1))</f>
        <v>#REF!</v>
      </c>
      <c r="AD29" s="204" t="e">
        <f>IF(SUMIF(Calculations!$BQ$7:$BQ$31,$F29&amp;" Tier 2",Calculations!#REF!)=0,"",SUMIF(Calculations!$BQ$7:$BQ$31,$F29&amp;" Tier 2",Calculations!#REF!))</f>
        <v>#REF!</v>
      </c>
    </row>
    <row r="30" spans="2:32" s="55" customFormat="1" ht="14.5" thickBot="1" x14ac:dyDescent="0.35">
      <c r="C30" s="1191"/>
      <c r="D30" s="1172" t="s">
        <v>93</v>
      </c>
      <c r="E30" s="130" t="s">
        <v>11</v>
      </c>
      <c r="F30" s="70" t="str">
        <f>C26&amp;" "&amp;D30&amp;" "&amp;E30</f>
        <v>Air Cooled Heat Pumps ≥ 11.25 &amp; &lt; 20 Tons Split System</v>
      </c>
      <c r="G30" s="69"/>
      <c r="H30" s="199"/>
      <c r="I30" s="201" t="str">
        <f>IF(SUMIF(Calculations!$BQ$7:$BQ$31,$F30&amp;" Tier 0",Calculations!$J$7:$J$31)=0,"",SUMIF(Calculations!$BQ$7:$BQ$31,$F30&amp;" Tier 0",Calculations!$J$7:$J$31))</f>
        <v/>
      </c>
      <c r="J30" s="202" t="e">
        <f>IF(SUMIF(Calculations!$BQ$7:$BQ$31,$F30&amp;" Tier 0",Calculations!#REF!)=0,"",ROUND(SUMIF(Calculations!$BQ$7:$BQ$31,$F30&amp;" Tier 0",Calculations!#REF!)/I30,3))</f>
        <v>#REF!</v>
      </c>
      <c r="K30" s="203" t="e">
        <f>IF(SUMIF(Calculations!$BQ$7:$BQ$31,$F30&amp;" Tier 0",Calculations!#REF!)=0,"",ROUND(SUMIF(Calculations!$BQ$7:$BQ$31,$F30&amp;" Tier 0",Calculations!#REF!)/I30,1))</f>
        <v>#REF!</v>
      </c>
      <c r="L30" s="202" t="e">
        <f>IF(SUMIF(Calculations!$BQ$7:$BQ$31,$F30&amp;" Tier 0",Calculations!#REF!)=0,"",ROUND(SUMIF(Calculations!$BQ$7:$BQ$31,$F30&amp;" Tier 0",Calculations!#REF!),3))</f>
        <v>#REF!</v>
      </c>
      <c r="M30" s="203" t="e">
        <f>IF(SUMIF(Calculations!$BQ$7:$BQ$31,$F30&amp;" Tier 0",Calculations!#REF!)=0,"",ROUND(SUMIF(Calculations!$BQ$7:$BQ$31,$F30&amp;" Tier 0",Calculations!#REF!),1))</f>
        <v>#REF!</v>
      </c>
      <c r="N30" s="204" t="e">
        <f>IF(SUMIF(Calculations!$BQ$7:$BQ$31,$F30&amp;" Tier 0",Calculations!#REF!)=0,"",SUMIF(Calculations!$BQ$7:$BQ$31,$F30&amp;" Tier 0",Calculations!#REF!))</f>
        <v>#REF!</v>
      </c>
      <c r="O30" s="69"/>
      <c r="P30" s="141" t="s">
        <v>422</v>
      </c>
      <c r="Q30" s="121" t="str">
        <f>IF(SUMIF(Calculations!$BQ$7:$BQ$31,$F30&amp;" Tier 1",Calculations!$J$7:$J$31)=0,"",SUMIF(Calculations!$BQ$7:$BQ$31,$F30&amp;" Tier 1",Calculations!$J$7:$J$31))</f>
        <v/>
      </c>
      <c r="R30" s="95" t="e">
        <f>IF(SUMIF(Calculations!$BQ$7:$BQ$31,$F30&amp;" Tier 1",Calculations!#REF!)=0,"",ROUND(SUMIF(Calculations!$BQ$7:$BQ$31,$F30&amp;" Tier 2",Calculations!#REF!)/Q30,3))</f>
        <v>#REF!</v>
      </c>
      <c r="S30" s="94" t="e">
        <f>IF(SUMIF(Calculations!$BQ$7:$BQ$31,$F30&amp;" Tier 1",Calculations!#REF!)=0,"",ROUND(SUMIF(Calculations!$BQ$7:$BQ$31,$F30&amp;" Tier 1",Calculations!#REF!)/Q30,1))</f>
        <v>#REF!</v>
      </c>
      <c r="T30" s="95" t="e">
        <f>IF(SUMIF(Calculations!$BQ$7:$BQ$31,$F30&amp;" Tier 1",Calculations!#REF!)=0,"",ROUND(SUMIF(Calculations!$BQ$7:$BQ$31,$F30&amp;" Tier 1",Calculations!#REF!),3))</f>
        <v>#REF!</v>
      </c>
      <c r="U30" s="94" t="e">
        <f>IF(SUMIF(Calculations!$BQ$7:$BQ$31,$F30&amp;" Tier 1",Calculations!#REF!)=0,"",ROUND(SUMIF(Calculations!$BQ$7:$BQ$31,$F30&amp;" Tier 1",Calculations!#REF!),1))</f>
        <v>#REF!</v>
      </c>
      <c r="V30" s="100" t="e">
        <f>IF(SUMIF(Calculations!$BQ$7:$BQ$31,$F30&amp;" Tier 1",Calculations!#REF!)=0,"",SUMIF(Calculations!$BQ$7:$BQ$31,$F30&amp;" Tier 1",Calculations!#REF!))</f>
        <v>#REF!</v>
      </c>
      <c r="W30" s="69"/>
      <c r="X30" s="199"/>
      <c r="Y30" s="201" t="str">
        <f>IF(SUMIF(Calculations!$BQ$7:$BQ$31,$F30&amp;" Tier 2",Calculations!$J$7:$J$31)=0,"",SUMIF(Calculations!$BQ$7:$BQ$31,$F30&amp;" Tier 2",Calculations!$J$7:$J$31))</f>
        <v/>
      </c>
      <c r="Z30" s="202" t="e">
        <f>IF(SUMIF(Calculations!$BQ$7:$BQ$31,$F30&amp;" Tier 2",Calculations!#REF!)=0,"",ROUND(SUMIF(Calculations!$BQ$7:$BQ$31,$F30&amp;" Tier 2",Calculations!#REF!)/Y30,3))</f>
        <v>#REF!</v>
      </c>
      <c r="AA30" s="203" t="e">
        <f>IF(SUMIF(Calculations!$BQ$7:$BQ$31,$F30&amp;" Tier 2",Calculations!#REF!)=0,"",ROUND(SUMIF(Calculations!$BQ$7:$BQ$31,$F30&amp;" Tier 2",Calculations!#REF!)/Y30,1))</f>
        <v>#REF!</v>
      </c>
      <c r="AB30" s="202" t="e">
        <f>IF(SUMIF(Calculations!$BQ$7:$BQ$31,$F30&amp;" Tier 2",Calculations!#REF!)=0,"",ROUND(SUMIF(Calculations!$BQ$7:$BQ$31,$F30&amp;" Tier 2",Calculations!#REF!),3))</f>
        <v>#REF!</v>
      </c>
      <c r="AC30" s="203" t="e">
        <f>IF(SUMIF(Calculations!$BQ$7:$BQ$31,$F30&amp;" Tier 2",Calculations!#REF!)=0,"",ROUND(SUMIF(Calculations!$BQ$7:$BQ$31,$F30&amp;" Tier 2",Calculations!#REF!),1))</f>
        <v>#REF!</v>
      </c>
      <c r="AD30" s="204" t="e">
        <f>IF(SUMIF(Calculations!$BQ$7:$BQ$31,$F30&amp;" Tier 2",Calculations!#REF!)=0,"",SUMIF(Calculations!$BQ$7:$BQ$31,$F30&amp;" Tier 2",Calculations!#REF!))</f>
        <v>#REF!</v>
      </c>
    </row>
    <row r="31" spans="2:32" s="55" customFormat="1" ht="14.5" thickBot="1" x14ac:dyDescent="0.35">
      <c r="C31" s="1191"/>
      <c r="D31" s="1172"/>
      <c r="E31" s="130" t="s">
        <v>99</v>
      </c>
      <c r="F31" s="70" t="str">
        <f>C26&amp;" "&amp;D30&amp;" "&amp;E31</f>
        <v>Air Cooled Heat Pumps ≥ 11.25 &amp; &lt; 20 Tons Single Package</v>
      </c>
      <c r="G31" s="69"/>
      <c r="H31" s="199"/>
      <c r="I31" s="201" t="str">
        <f>IF(SUMIF(Calculations!$BQ$7:$BQ$31,$F31&amp;" Tier 0",Calculations!$J$7:$J$31)=0,"",SUMIF(Calculations!$BQ$7:$BQ$31,$F31&amp;" Tier 0",Calculations!$J$7:$J$31))</f>
        <v/>
      </c>
      <c r="J31" s="202" t="e">
        <f>IF(SUMIF(Calculations!$BQ$7:$BQ$31,$F31&amp;" Tier 0",Calculations!#REF!)=0,"",ROUND(SUMIF(Calculations!$BQ$7:$BQ$31,$F31&amp;" Tier 0",Calculations!#REF!)/I31,3))</f>
        <v>#REF!</v>
      </c>
      <c r="K31" s="203" t="e">
        <f>IF(SUMIF(Calculations!$BQ$7:$BQ$31,$F31&amp;" Tier 0",Calculations!#REF!)=0,"",ROUND(SUMIF(Calculations!$BQ$7:$BQ$31,$F31&amp;" Tier 0",Calculations!#REF!)/I31,1))</f>
        <v>#REF!</v>
      </c>
      <c r="L31" s="202" t="e">
        <f>IF(SUMIF(Calculations!$BQ$7:$BQ$31,$F31&amp;" Tier 0",Calculations!#REF!)=0,"",ROUND(SUMIF(Calculations!$BQ$7:$BQ$31,$F31&amp;" Tier 0",Calculations!#REF!),3))</f>
        <v>#REF!</v>
      </c>
      <c r="M31" s="203" t="e">
        <f>IF(SUMIF(Calculations!$BQ$7:$BQ$31,$F31&amp;" Tier 0",Calculations!#REF!)=0,"",ROUND(SUMIF(Calculations!$BQ$7:$BQ$31,$F31&amp;" Tier 0",Calculations!#REF!),1))</f>
        <v>#REF!</v>
      </c>
      <c r="N31" s="204" t="e">
        <f>IF(SUMIF(Calculations!$BQ$7:$BQ$31,$F31&amp;" Tier 0",Calculations!#REF!)=0,"",SUMIF(Calculations!$BQ$7:$BQ$31,$F31&amp;" Tier 0",Calculations!#REF!))</f>
        <v>#REF!</v>
      </c>
      <c r="O31" s="69"/>
      <c r="P31" s="141" t="s">
        <v>423</v>
      </c>
      <c r="Q31" s="121" t="str">
        <f>IF(SUMIF(Calculations!$BQ$7:$BQ$31,$F31&amp;" Tier 1",Calculations!$J$7:$J$31)=0,"",SUMIF(Calculations!$BQ$7:$BQ$31,$F31&amp;" Tier 1",Calculations!$J$7:$J$31))</f>
        <v/>
      </c>
      <c r="R31" s="95" t="e">
        <f>IF(SUMIF(Calculations!$BQ$7:$BQ$31,$F31&amp;" Tier 1",Calculations!#REF!)=0,"",ROUND(SUMIF(Calculations!$BQ$7:$BQ$31,$F31&amp;" Tier 2",Calculations!#REF!)/Q31,3))</f>
        <v>#REF!</v>
      </c>
      <c r="S31" s="94" t="e">
        <f>IF(SUMIF(Calculations!$BQ$7:$BQ$31,$F31&amp;" Tier 1",Calculations!#REF!)=0,"",ROUND(SUMIF(Calculations!$BQ$7:$BQ$31,$F31&amp;" Tier 1",Calculations!#REF!)/Q31,1))</f>
        <v>#REF!</v>
      </c>
      <c r="T31" s="95" t="e">
        <f>IF(SUMIF(Calculations!$BQ$7:$BQ$31,$F31&amp;" Tier 1",Calculations!#REF!)=0,"",ROUND(SUMIF(Calculations!$BQ$7:$BQ$31,$F31&amp;" Tier 1",Calculations!#REF!),3))</f>
        <v>#REF!</v>
      </c>
      <c r="U31" s="94" t="e">
        <f>IF(SUMIF(Calculations!$BQ$7:$BQ$31,$F31&amp;" Tier 1",Calculations!#REF!)=0,"",ROUND(SUMIF(Calculations!$BQ$7:$BQ$31,$F31&amp;" Tier 1",Calculations!#REF!),1))</f>
        <v>#REF!</v>
      </c>
      <c r="V31" s="100" t="e">
        <f>IF(SUMIF(Calculations!$BQ$7:$BQ$31,$F31&amp;" Tier 1",Calculations!#REF!)=0,"",SUMIF(Calculations!$BQ$7:$BQ$31,$F31&amp;" Tier 1",Calculations!#REF!))</f>
        <v>#REF!</v>
      </c>
      <c r="W31" s="69"/>
      <c r="X31" s="199"/>
      <c r="Y31" s="201" t="str">
        <f>IF(SUMIF(Calculations!$BQ$7:$BQ$31,$F31&amp;" Tier 2",Calculations!$J$7:$J$31)=0,"",SUMIF(Calculations!$BQ$7:$BQ$31,$F31&amp;" Tier 2",Calculations!$J$7:$J$31))</f>
        <v/>
      </c>
      <c r="Z31" s="202" t="e">
        <f>IF(SUMIF(Calculations!$BQ$7:$BQ$31,$F31&amp;" Tier 2",Calculations!#REF!)=0,"",ROUND(SUMIF(Calculations!$BQ$7:$BQ$31,$F31&amp;" Tier 2",Calculations!#REF!)/Y31,3))</f>
        <v>#REF!</v>
      </c>
      <c r="AA31" s="203" t="e">
        <f>IF(SUMIF(Calculations!$BQ$7:$BQ$31,$F31&amp;" Tier 2",Calculations!#REF!)=0,"",ROUND(SUMIF(Calculations!$BQ$7:$BQ$31,$F31&amp;" Tier 2",Calculations!#REF!)/Y31,1))</f>
        <v>#REF!</v>
      </c>
      <c r="AB31" s="202" t="e">
        <f>IF(SUMIF(Calculations!$BQ$7:$BQ$31,$F31&amp;" Tier 2",Calculations!#REF!)=0,"",ROUND(SUMIF(Calculations!$BQ$7:$BQ$31,$F31&amp;" Tier 2",Calculations!#REF!),3))</f>
        <v>#REF!</v>
      </c>
      <c r="AC31" s="203" t="e">
        <f>IF(SUMIF(Calculations!$BQ$7:$BQ$31,$F31&amp;" Tier 2",Calculations!#REF!)=0,"",ROUND(SUMIF(Calculations!$BQ$7:$BQ$31,$F31&amp;" Tier 2",Calculations!#REF!),1))</f>
        <v>#REF!</v>
      </c>
      <c r="AD31" s="204" t="e">
        <f>IF(SUMIF(Calculations!$BQ$7:$BQ$31,$F31&amp;" Tier 2",Calculations!#REF!)=0,"",SUMIF(Calculations!$BQ$7:$BQ$31,$F31&amp;" Tier 2",Calculations!#REF!))</f>
        <v>#REF!</v>
      </c>
    </row>
    <row r="32" spans="2:32" s="55" customFormat="1" ht="14.5" thickBot="1" x14ac:dyDescent="0.35">
      <c r="C32" s="1191"/>
      <c r="D32" s="1172" t="s">
        <v>94</v>
      </c>
      <c r="E32" s="130" t="s">
        <v>11</v>
      </c>
      <c r="F32" s="70" t="str">
        <f>C26&amp;" "&amp;D32&amp;" "&amp;E32</f>
        <v>Air Cooled Heat Pumps ≥ 20 &amp; &lt; 63 Tons Split System</v>
      </c>
      <c r="G32" s="69"/>
      <c r="H32" s="199"/>
      <c r="I32" s="201" t="str">
        <f>IF(SUMIF(Calculations!$BQ$7:$BQ$31,$F32&amp;" Tier 0",Calculations!$J$7:$J$31)=0,"",SUMIF(Calculations!$BQ$7:$BQ$31,$F32&amp;" Tier 0",Calculations!$J$7:$J$31))</f>
        <v/>
      </c>
      <c r="J32" s="202" t="e">
        <f>IF(SUMIF(Calculations!$BQ$7:$BQ$31,$F32&amp;" Tier 0",Calculations!#REF!)=0,"",ROUND(SUMIF(Calculations!$BQ$7:$BQ$31,$F32&amp;" Tier 0",Calculations!#REF!)/I32,3))</f>
        <v>#REF!</v>
      </c>
      <c r="K32" s="203" t="e">
        <f>IF(SUMIF(Calculations!$BQ$7:$BQ$31,$F32&amp;" Tier 0",Calculations!#REF!)=0,"",ROUND(SUMIF(Calculations!$BQ$7:$BQ$31,$F32&amp;" Tier 0",Calculations!#REF!)/I32,1))</f>
        <v>#REF!</v>
      </c>
      <c r="L32" s="202" t="e">
        <f>IF(SUMIF(Calculations!$BQ$7:$BQ$31,$F32&amp;" Tier 0",Calculations!#REF!)=0,"",ROUND(SUMIF(Calculations!$BQ$7:$BQ$31,$F32&amp;" Tier 0",Calculations!#REF!),3))</f>
        <v>#REF!</v>
      </c>
      <c r="M32" s="203" t="e">
        <f>IF(SUMIF(Calculations!$BQ$7:$BQ$31,$F32&amp;" Tier 0",Calculations!#REF!)=0,"",ROUND(SUMIF(Calculations!$BQ$7:$BQ$31,$F32&amp;" Tier 0",Calculations!#REF!),1))</f>
        <v>#REF!</v>
      </c>
      <c r="N32" s="204" t="e">
        <f>IF(SUMIF(Calculations!$BQ$7:$BQ$31,$F32&amp;" Tier 0",Calculations!#REF!)=0,"",SUMIF(Calculations!$BQ$7:$BQ$31,$F32&amp;" Tier 0",Calculations!#REF!))</f>
        <v>#REF!</v>
      </c>
      <c r="O32" s="69"/>
      <c r="P32" s="141" t="s">
        <v>424</v>
      </c>
      <c r="Q32" s="121" t="str">
        <f>IF(SUMIF(Calculations!$BQ$7:$BQ$31,$F32&amp;" Tier 1",Calculations!$J$7:$J$31)=0,"",SUMIF(Calculations!$BQ$7:$BQ$31,$F32&amp;" Tier 1",Calculations!$J$7:$J$31))</f>
        <v/>
      </c>
      <c r="R32" s="95" t="e">
        <f>IF(SUMIF(Calculations!$BQ$7:$BQ$31,$F32&amp;" Tier 1",Calculations!#REF!)=0,"",ROUND(SUMIF(Calculations!$BQ$7:$BQ$31,$F32&amp;" Tier 2",Calculations!#REF!)/Q32,3))</f>
        <v>#REF!</v>
      </c>
      <c r="S32" s="94" t="e">
        <f>IF(SUMIF(Calculations!$BQ$7:$BQ$31,$F32&amp;" Tier 1",Calculations!#REF!)=0,"",ROUND(SUMIF(Calculations!$BQ$7:$BQ$31,$F32&amp;" Tier 1",Calculations!#REF!)/Q32,1))</f>
        <v>#REF!</v>
      </c>
      <c r="T32" s="95" t="e">
        <f>IF(SUMIF(Calculations!$BQ$7:$BQ$31,$F32&amp;" Tier 1",Calculations!#REF!)=0,"",ROUND(SUMIF(Calculations!$BQ$7:$BQ$31,$F32&amp;" Tier 1",Calculations!#REF!),3))</f>
        <v>#REF!</v>
      </c>
      <c r="U32" s="94" t="e">
        <f>IF(SUMIF(Calculations!$BQ$7:$BQ$31,$F32&amp;" Tier 1",Calculations!#REF!)=0,"",ROUND(SUMIF(Calculations!$BQ$7:$BQ$31,$F32&amp;" Tier 1",Calculations!#REF!),1))</f>
        <v>#REF!</v>
      </c>
      <c r="V32" s="100" t="e">
        <f>IF(SUMIF(Calculations!$BQ$7:$BQ$31,$F32&amp;" Tier 1",Calculations!#REF!)=0,"",SUMIF(Calculations!$BQ$7:$BQ$31,$F32&amp;" Tier 1",Calculations!#REF!))</f>
        <v>#REF!</v>
      </c>
      <c r="W32" s="69"/>
      <c r="X32" s="199"/>
      <c r="Y32" s="201" t="str">
        <f>IF(SUMIF(Calculations!$BQ$7:$BQ$31,$F32&amp;" Tier 2",Calculations!$J$7:$J$31)=0,"",SUMIF(Calculations!$BQ$7:$BQ$31,$F32&amp;" Tier 2",Calculations!$J$7:$J$31))</f>
        <v/>
      </c>
      <c r="Z32" s="202" t="e">
        <f>IF(SUMIF(Calculations!$BQ$7:$BQ$31,$F32&amp;" Tier 2",Calculations!#REF!)=0,"",ROUND(SUMIF(Calculations!$BQ$7:$BQ$31,$F32&amp;" Tier 2",Calculations!#REF!)/Y32,3))</f>
        <v>#REF!</v>
      </c>
      <c r="AA32" s="203" t="e">
        <f>IF(SUMIF(Calculations!$BQ$7:$BQ$31,$F32&amp;" Tier 2",Calculations!#REF!)=0,"",ROUND(SUMIF(Calculations!$BQ$7:$BQ$31,$F32&amp;" Tier 2",Calculations!#REF!)/Y32,1))</f>
        <v>#REF!</v>
      </c>
      <c r="AB32" s="202" t="e">
        <f>IF(SUMIF(Calculations!$BQ$7:$BQ$31,$F32&amp;" Tier 2",Calculations!#REF!)=0,"",ROUND(SUMIF(Calculations!$BQ$7:$BQ$31,$F32&amp;" Tier 2",Calculations!#REF!),3))</f>
        <v>#REF!</v>
      </c>
      <c r="AC32" s="203" t="e">
        <f>IF(SUMIF(Calculations!$BQ$7:$BQ$31,$F32&amp;" Tier 2",Calculations!#REF!)=0,"",ROUND(SUMIF(Calculations!$BQ$7:$BQ$31,$F32&amp;" Tier 2",Calculations!#REF!),1))</f>
        <v>#REF!</v>
      </c>
      <c r="AD32" s="204" t="e">
        <f>IF(SUMIF(Calculations!$BQ$7:$BQ$31,$F32&amp;" Tier 2",Calculations!#REF!)=0,"",SUMIF(Calculations!$BQ$7:$BQ$31,$F32&amp;" Tier 2",Calculations!#REF!))</f>
        <v>#REF!</v>
      </c>
    </row>
    <row r="33" spans="2:30" s="55" customFormat="1" ht="14.5" thickBot="1" x14ac:dyDescent="0.35">
      <c r="C33" s="1192"/>
      <c r="D33" s="1189"/>
      <c r="E33" s="131" t="s">
        <v>99</v>
      </c>
      <c r="F33" s="125" t="str">
        <f>C26&amp;" "&amp;D32&amp;" "&amp;E33</f>
        <v>Air Cooled Heat Pumps ≥ 20 &amp; &lt; 63 Tons Single Package</v>
      </c>
      <c r="G33" s="69"/>
      <c r="H33" s="199"/>
      <c r="I33" s="205" t="str">
        <f>IF(SUMIF(Calculations!$BQ$7:$BQ$31,$F33&amp;" Tier 0",Calculations!$J$7:$J$31)=0,"",SUMIF(Calculations!$BQ$7:$BQ$31,$F33&amp;" Tier 0",Calculations!$J$7:$J$31))</f>
        <v/>
      </c>
      <c r="J33" s="196" t="e">
        <f>IF(SUMIF(Calculations!$BQ$7:$BQ$31,$F33&amp;" Tier 0",Calculations!#REF!)=0,"",ROUND(SUMIF(Calculations!$BQ$7:$BQ$31,$F33&amp;" Tier 0",Calculations!#REF!)/I33,3))</f>
        <v>#REF!</v>
      </c>
      <c r="K33" s="197" t="e">
        <f>IF(SUMIF(Calculations!$BQ$7:$BQ$31,$F33&amp;" Tier 0",Calculations!#REF!)=0,"",ROUND(SUMIF(Calculations!$BQ$7:$BQ$31,$F33&amp;" Tier 0",Calculations!#REF!)/I33,1))</f>
        <v>#REF!</v>
      </c>
      <c r="L33" s="196" t="e">
        <f>IF(SUMIF(Calculations!$BQ$7:$BQ$31,$F33&amp;" Tier 0",Calculations!#REF!)=0,"",ROUND(SUMIF(Calculations!$BQ$7:$BQ$31,$F33&amp;" Tier 0",Calculations!#REF!),3))</f>
        <v>#REF!</v>
      </c>
      <c r="M33" s="197" t="e">
        <f>IF(SUMIF(Calculations!$BQ$7:$BQ$31,$F33&amp;" Tier 0",Calculations!#REF!)=0,"",ROUND(SUMIF(Calculations!$BQ$7:$BQ$31,$F33&amp;" Tier 0",Calculations!#REF!),1))</f>
        <v>#REF!</v>
      </c>
      <c r="N33" s="198" t="e">
        <f>IF(SUMIF(Calculations!$BQ$7:$BQ$31,$F33&amp;" Tier 0",Calculations!#REF!)=0,"",SUMIF(Calculations!$BQ$7:$BQ$31,$F33&amp;" Tier 0",Calculations!#REF!))</f>
        <v>#REF!</v>
      </c>
      <c r="O33" s="69"/>
      <c r="P33" s="141" t="s">
        <v>425</v>
      </c>
      <c r="Q33" s="122" t="str">
        <f>IF(SUMIF(Calculations!$BQ$7:$BQ$31,$F33&amp;" Tier 1",Calculations!$J$7:$J$31)=0,"",SUMIF(Calculations!$BQ$7:$BQ$31,$F33&amp;" Tier 1",Calculations!$J$7:$J$31))</f>
        <v/>
      </c>
      <c r="R33" s="101" t="e">
        <f>IF(SUMIF(Calculations!$BQ$7:$BQ$31,$F33&amp;" Tier 1",Calculations!#REF!)=0,"",ROUND(SUMIF(Calculations!$BQ$7:$BQ$31,$F33&amp;" Tier 2",Calculations!#REF!)/Q33,3))</f>
        <v>#REF!</v>
      </c>
      <c r="S33" s="102" t="e">
        <f>IF(SUMIF(Calculations!$BQ$7:$BQ$31,$F33&amp;" Tier 1",Calculations!#REF!)=0,"",ROUND(SUMIF(Calculations!$BQ$7:$BQ$31,$F33&amp;" Tier 1",Calculations!#REF!)/Q33,1))</f>
        <v>#REF!</v>
      </c>
      <c r="T33" s="101" t="e">
        <f>IF(SUMIF(Calculations!$BQ$7:$BQ$31,$F33&amp;" Tier 1",Calculations!#REF!)=0,"",ROUND(SUMIF(Calculations!$BQ$7:$BQ$31,$F33&amp;" Tier 1",Calculations!#REF!),3))</f>
        <v>#REF!</v>
      </c>
      <c r="U33" s="102" t="e">
        <f>IF(SUMIF(Calculations!$BQ$7:$BQ$31,$F33&amp;" Tier 1",Calculations!#REF!)=0,"",ROUND(SUMIF(Calculations!$BQ$7:$BQ$31,$F33&amp;" Tier 1",Calculations!#REF!),1))</f>
        <v>#REF!</v>
      </c>
      <c r="V33" s="103" t="e">
        <f>IF(SUMIF(Calculations!$BQ$7:$BQ$31,$F33&amp;" Tier 1",Calculations!#REF!)=0,"",SUMIF(Calculations!$BQ$7:$BQ$31,$F33&amp;" Tier 1",Calculations!#REF!))</f>
        <v>#REF!</v>
      </c>
      <c r="W33" s="69"/>
      <c r="X33" s="199"/>
      <c r="Y33" s="205" t="str">
        <f>IF(SUMIF(Calculations!$BQ$7:$BQ$31,$F33&amp;" Tier 2",Calculations!$J$7:$J$31)=0,"",SUMIF(Calculations!$BQ$7:$BQ$31,$F33&amp;" Tier 2",Calculations!$J$7:$J$31))</f>
        <v/>
      </c>
      <c r="Z33" s="196" t="e">
        <f>IF(SUMIF(Calculations!$BQ$7:$BQ$31,$F33&amp;" Tier 2",Calculations!#REF!)=0,"",ROUND(SUMIF(Calculations!$BQ$7:$BQ$31,$F33&amp;" Tier 2",Calculations!#REF!)/Y33,3))</f>
        <v>#REF!</v>
      </c>
      <c r="AA33" s="197" t="e">
        <f>IF(SUMIF(Calculations!$BQ$7:$BQ$31,$F33&amp;" Tier 2",Calculations!#REF!)=0,"",ROUND(SUMIF(Calculations!$BQ$7:$BQ$31,$F33&amp;" Tier 2",Calculations!#REF!)/Y33,1))</f>
        <v>#REF!</v>
      </c>
      <c r="AB33" s="196" t="e">
        <f>IF(SUMIF(Calculations!$BQ$7:$BQ$31,$F33&amp;" Tier 2",Calculations!#REF!)=0,"",ROUND(SUMIF(Calculations!$BQ$7:$BQ$31,$F33&amp;" Tier 2",Calculations!#REF!),3))</f>
        <v>#REF!</v>
      </c>
      <c r="AC33" s="197" t="e">
        <f>IF(SUMIF(Calculations!$BQ$7:$BQ$31,$F33&amp;" Tier 2",Calculations!#REF!)=0,"",ROUND(SUMIF(Calculations!$BQ$7:$BQ$31,$F33&amp;" Tier 2",Calculations!#REF!),1))</f>
        <v>#REF!</v>
      </c>
      <c r="AD33" s="198" t="e">
        <f>IF(SUMIF(Calculations!$BQ$7:$BQ$31,$F33&amp;" Tier 2",Calculations!#REF!)=0,"",SUMIF(Calculations!$BQ$7:$BQ$31,$F33&amp;" Tier 2",Calculations!#REF!))</f>
        <v>#REF!</v>
      </c>
    </row>
    <row r="34" spans="2:30" s="55" customFormat="1" ht="14.5" thickBot="1" x14ac:dyDescent="0.35">
      <c r="C34" s="104" t="s">
        <v>97</v>
      </c>
      <c r="D34" s="105" t="s">
        <v>96</v>
      </c>
      <c r="E34" s="132" t="s">
        <v>30</v>
      </c>
      <c r="F34" s="126" t="str">
        <f>C34&amp;" "&amp;D34&amp;" "&amp;E34</f>
        <v>Water Source Heat Pumps &lt; 11.25 Tons N/A</v>
      </c>
      <c r="G34" s="69"/>
      <c r="H34" s="199"/>
      <c r="I34" s="206" t="str">
        <f>IF(SUMIF(Calculations!$BQ$7:$BQ$31,$F34&amp;" Tier 0",Calculations!$J$7:$J$31)=0,"",SUMIF(Calculations!$BQ$7:$BQ$31,$F34&amp;" Tier 0",Calculations!$J$7:$J$31))</f>
        <v/>
      </c>
      <c r="J34" s="207" t="e">
        <f>IF(SUMIF(Calculations!$BQ$7:$BQ$31,$F34&amp;" Tier 0",Calculations!#REF!)=0,"",ROUND(SUMIF(Calculations!$BQ$7:$BQ$31,$F34&amp;" Tier 0",Calculations!#REF!)/I34,3))</f>
        <v>#REF!</v>
      </c>
      <c r="K34" s="208" t="e">
        <f>IF(SUMIF(Calculations!$BQ$7:$BQ$31,$F34&amp;" Tier 0",Calculations!#REF!)=0,"",ROUND(SUMIF(Calculations!$BQ$7:$BQ$31,$F34&amp;" Tier 0",Calculations!#REF!)/I34,1))</f>
        <v>#REF!</v>
      </c>
      <c r="L34" s="207" t="e">
        <f>IF(SUMIF(Calculations!$BQ$7:$BQ$31,$F34&amp;" Tier 0",Calculations!#REF!)=0,"",ROUND(SUMIF(Calculations!$BQ$7:$BQ$31,$F34&amp;" Tier 0",Calculations!#REF!),3))</f>
        <v>#REF!</v>
      </c>
      <c r="M34" s="208" t="e">
        <f>IF(SUMIF(Calculations!$BQ$7:$BQ$31,$F34&amp;" Tier 0",Calculations!#REF!)=0,"",ROUND(SUMIF(Calculations!$BQ$7:$BQ$31,$F34&amp;" Tier 0",Calculations!#REF!),1))</f>
        <v>#REF!</v>
      </c>
      <c r="N34" s="209" t="e">
        <f>IF(SUMIF(Calculations!$BQ$7:$BQ$31,$F34&amp;" Tier 0",Calculations!#REF!)=0,"",SUMIF(Calculations!$BQ$7:$BQ$31,$F34&amp;" Tier 0",Calculations!#REF!))</f>
        <v>#REF!</v>
      </c>
      <c r="O34" s="69"/>
      <c r="P34" s="141" t="s">
        <v>426</v>
      </c>
      <c r="Q34" s="119" t="str">
        <f>IF(SUMIF(Calculations!$BQ$7:$BQ$31,$F34&amp;" Tier 1",Calculations!$J$7:$J$31)=0,"",SUMIF(Calculations!$BQ$7:$BQ$31,$F34&amp;" Tier 1",Calculations!$J$7:$J$31))</f>
        <v/>
      </c>
      <c r="R34" s="93" t="e">
        <f>IF(SUMIF(Calculations!$BQ$7:$BQ$31,$F34&amp;" Tier 1",Calculations!#REF!)=0,"",ROUND(SUMIF(Calculations!$BQ$7:$BQ$31,$F34&amp;" Tier 2",Calculations!#REF!)/Q34,3))</f>
        <v>#REF!</v>
      </c>
      <c r="S34" s="106" t="e">
        <f>IF(SUMIF(Calculations!$BQ$7:$BQ$31,$F34&amp;" Tier 1",Calculations!#REF!)=0,"",ROUND(SUMIF(Calculations!$BQ$7:$BQ$31,$F34&amp;" Tier 1",Calculations!#REF!)/Q34,1))</f>
        <v>#REF!</v>
      </c>
      <c r="T34" s="93" t="e">
        <f>IF(SUMIF(Calculations!$BQ$7:$BQ$31,$F34&amp;" Tier 1",Calculations!#REF!)=0,"",ROUND(SUMIF(Calculations!$BQ$7:$BQ$31,$F34&amp;" Tier 1",Calculations!#REF!),3))</f>
        <v>#REF!</v>
      </c>
      <c r="U34" s="106" t="e">
        <f>IF(SUMIF(Calculations!$BQ$7:$BQ$31,$F34&amp;" Tier 1",Calculations!#REF!)=0,"",ROUND(SUMIF(Calculations!$BQ$7:$BQ$31,$F34&amp;" Tier 1",Calculations!#REF!),1))</f>
        <v>#REF!</v>
      </c>
      <c r="V34" s="91" t="e">
        <f>IF(SUMIF(Calculations!$BQ$7:$BQ$31,$F34&amp;" Tier 1",Calculations!#REF!)=0,"",SUMIF(Calculations!$BQ$7:$BQ$31,$F34&amp;" Tier 1",Calculations!#REF!))</f>
        <v>#REF!</v>
      </c>
      <c r="W34" s="69"/>
      <c r="X34" s="199"/>
      <c r="Y34" s="206" t="str">
        <f>IF(SUMIF(Calculations!$BQ$7:$BQ$31,$F34&amp;" Tier 2",Calculations!$J$7:$J$31)=0,"",SUMIF(Calculations!$BQ$7:$BQ$31,$F34&amp;" Tier 2",Calculations!$J$7:$J$31))</f>
        <v/>
      </c>
      <c r="Z34" s="207" t="e">
        <f>IF(SUMIF(Calculations!$BQ$7:$BQ$31,$F34&amp;" Tier 2",Calculations!#REF!)=0,"",ROUND(SUMIF(Calculations!$BQ$7:$BQ$31,$F34&amp;" Tier 2",Calculations!#REF!)/Y34,3))</f>
        <v>#REF!</v>
      </c>
      <c r="AA34" s="208" t="e">
        <f>IF(SUMIF(Calculations!$BQ$7:$BQ$31,$F34&amp;" Tier 2",Calculations!#REF!)=0,"",ROUND(SUMIF(Calculations!$BQ$7:$BQ$31,$F34&amp;" Tier 2",Calculations!#REF!)/Y34,1))</f>
        <v>#REF!</v>
      </c>
      <c r="AB34" s="207" t="e">
        <f>IF(SUMIF(Calculations!$BQ$7:$BQ$31,$F34&amp;" Tier 2",Calculations!#REF!)=0,"",ROUND(SUMIF(Calculations!$BQ$7:$BQ$31,$F34&amp;" Tier 2",Calculations!#REF!),3))</f>
        <v>#REF!</v>
      </c>
      <c r="AC34" s="208" t="e">
        <f>IF(SUMIF(Calculations!$BQ$7:$BQ$31,$F34&amp;" Tier 2",Calculations!#REF!)=0,"",ROUND(SUMIF(Calculations!$BQ$7:$BQ$31,$F34&amp;" Tier 2",Calculations!#REF!),1))</f>
        <v>#REF!</v>
      </c>
      <c r="AD34" s="209" t="e">
        <f>IF(SUMIF(Calculations!$BQ$7:$BQ$31,$F34&amp;" Tier 2",Calculations!#REF!)=0,"",SUMIF(Calculations!$BQ$7:$BQ$31,$F34&amp;" Tier 2",Calculations!#REF!))</f>
        <v>#REF!</v>
      </c>
    </row>
    <row r="35" spans="2:30" s="55" customFormat="1" ht="14.5" thickBot="1" x14ac:dyDescent="0.35">
      <c r="C35" s="84"/>
      <c r="D35" s="84"/>
      <c r="E35" s="69"/>
      <c r="F35" s="69"/>
      <c r="G35" s="69"/>
      <c r="H35" s="69"/>
      <c r="I35" s="84"/>
      <c r="J35" s="84"/>
      <c r="K35" s="83"/>
      <c r="L35" s="84"/>
      <c r="M35" s="83"/>
      <c r="N35" s="83"/>
      <c r="O35" s="69"/>
      <c r="P35" s="69"/>
      <c r="Q35" s="84"/>
      <c r="R35" s="84"/>
      <c r="S35" s="83"/>
      <c r="T35" s="85"/>
      <c r="U35" s="83"/>
      <c r="V35" s="85"/>
      <c r="W35" s="69"/>
      <c r="X35" s="69"/>
      <c r="Y35" s="84"/>
      <c r="Z35" s="84"/>
      <c r="AA35" s="83"/>
      <c r="AB35" s="85"/>
      <c r="AC35" s="83"/>
      <c r="AD35" s="85"/>
    </row>
    <row r="36" spans="2:30" s="55" customFormat="1" ht="18.5" thickBot="1" x14ac:dyDescent="0.35">
      <c r="B36" s="54"/>
      <c r="C36" s="1183" t="s">
        <v>235</v>
      </c>
      <c r="D36" s="1184"/>
      <c r="E36" s="1185"/>
      <c r="F36" s="90"/>
      <c r="G36" s="71"/>
      <c r="H36" s="71"/>
      <c r="I36" s="96">
        <f>SUM(I7:I20,I25:I34)</f>
        <v>0</v>
      </c>
      <c r="J36" s="86"/>
      <c r="K36" s="87"/>
      <c r="L36" s="93" t="e">
        <f>SUM(L7:L20,L25:L34)</f>
        <v>#REF!</v>
      </c>
      <c r="M36" s="92" t="e">
        <f>SUM(M7:M20,M25:M34)</f>
        <v>#REF!</v>
      </c>
      <c r="N36" s="91" t="e">
        <f>SUM(N7:N20,N25:N34)</f>
        <v>#REF!</v>
      </c>
      <c r="O36" s="71"/>
      <c r="P36" s="71"/>
      <c r="Q36" s="96">
        <f>SUM(Q7:Q20,Q25:Q34)</f>
        <v>0</v>
      </c>
      <c r="R36" s="86"/>
      <c r="S36" s="87"/>
      <c r="T36" s="93" t="e">
        <f>SUM(T7:T20,T25:T34)</f>
        <v>#REF!</v>
      </c>
      <c r="U36" s="92" t="e">
        <f>SUM(U7:U20,U25:U34)</f>
        <v>#REF!</v>
      </c>
      <c r="V36" s="91" t="e">
        <f>SUM(V7:V20,V25:V34)</f>
        <v>#REF!</v>
      </c>
      <c r="W36" s="71"/>
      <c r="X36" s="71"/>
      <c r="Y36" s="96">
        <f>SUM(Y7:Y20,Y25:Y34)</f>
        <v>0</v>
      </c>
      <c r="Z36" s="86"/>
      <c r="AA36" s="87"/>
      <c r="AB36" s="93" t="e">
        <f>SUM(AB7:AB20,AB25:AB34)</f>
        <v>#REF!</v>
      </c>
      <c r="AC36" s="92" t="e">
        <f>SUM(AC7:AC20,AC25:AC34)</f>
        <v>#REF!</v>
      </c>
      <c r="AD36" s="91" t="e">
        <f>SUM(AD7:AD20,AD25:AD34)</f>
        <v>#REF!</v>
      </c>
    </row>
    <row r="37" spans="2:30" s="55" customFormat="1" ht="25.5" customHeight="1" x14ac:dyDescent="0.3">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c r="Y37" s="1182"/>
      <c r="Z37" s="1182"/>
      <c r="AA37" s="1182"/>
      <c r="AB37" s="1182"/>
      <c r="AC37" s="1182"/>
      <c r="AD37" s="68"/>
    </row>
    <row r="38" spans="2:30" s="55" customFormat="1" ht="13" hidden="1" x14ac:dyDescent="0.3">
      <c r="C38" s="59"/>
      <c r="D38" s="54"/>
      <c r="E38" s="54"/>
      <c r="F38" s="54"/>
      <c r="G38" s="54"/>
      <c r="H38" s="54"/>
      <c r="I38" s="54"/>
      <c r="J38" s="54"/>
      <c r="K38" s="54"/>
      <c r="L38" s="54"/>
      <c r="M38" s="54"/>
      <c r="N38" s="54"/>
      <c r="O38" s="54"/>
      <c r="P38" s="54"/>
      <c r="Q38" s="54"/>
      <c r="R38" s="54"/>
      <c r="S38" s="54"/>
      <c r="T38" s="54"/>
      <c r="U38" s="54"/>
      <c r="W38" s="54"/>
      <c r="X38" s="54"/>
      <c r="Y38" s="54"/>
      <c r="Z38" s="54"/>
      <c r="AA38" s="54"/>
      <c r="AB38" s="54"/>
      <c r="AC38" s="54"/>
    </row>
    <row r="39" spans="2:30" s="55" customFormat="1" ht="13" hidden="1" x14ac:dyDescent="0.3">
      <c r="C39" s="59"/>
      <c r="D39" s="54"/>
      <c r="E39" s="54"/>
      <c r="F39" s="54"/>
      <c r="G39" s="54"/>
      <c r="H39" s="54"/>
      <c r="I39" s="54"/>
      <c r="J39" s="54"/>
      <c r="K39" s="54"/>
      <c r="L39" s="54"/>
      <c r="M39" s="54"/>
      <c r="N39" s="54"/>
      <c r="O39" s="54"/>
      <c r="P39" s="54"/>
      <c r="Q39" s="54"/>
      <c r="R39" s="54"/>
      <c r="S39" s="54"/>
      <c r="T39" s="54"/>
      <c r="U39" s="54"/>
      <c r="W39" s="54"/>
      <c r="X39" s="54"/>
      <c r="Y39" s="54"/>
      <c r="Z39" s="54"/>
      <c r="AA39" s="54"/>
      <c r="AB39" s="54"/>
      <c r="AC39" s="54"/>
    </row>
    <row r="40" spans="2:30" s="55" customFormat="1" ht="13" hidden="1" x14ac:dyDescent="0.3">
      <c r="C40" s="59"/>
      <c r="D40" s="54"/>
      <c r="E40" s="54"/>
      <c r="F40" s="54"/>
      <c r="G40" s="54"/>
      <c r="H40" s="54"/>
      <c r="I40" s="54"/>
      <c r="J40" s="54"/>
      <c r="K40" s="54"/>
      <c r="L40" s="54"/>
      <c r="M40" s="54"/>
      <c r="N40" s="54"/>
      <c r="O40" s="54"/>
      <c r="P40" s="54"/>
      <c r="Q40" s="54"/>
      <c r="R40" s="54"/>
      <c r="S40" s="54"/>
      <c r="T40" s="54"/>
      <c r="U40" s="54"/>
      <c r="W40" s="54"/>
      <c r="X40" s="54"/>
      <c r="Y40" s="54"/>
      <c r="Z40" s="54"/>
      <c r="AA40" s="54"/>
      <c r="AB40" s="54"/>
      <c r="AC40" s="54"/>
    </row>
    <row r="41" spans="2:30" s="55" customFormat="1" ht="13" hidden="1" x14ac:dyDescent="0.3">
      <c r="C41" s="59"/>
      <c r="D41" s="54"/>
      <c r="E41" s="54"/>
      <c r="F41" s="54"/>
      <c r="G41" s="54"/>
      <c r="H41" s="54"/>
      <c r="I41" s="54"/>
      <c r="J41" s="54"/>
      <c r="K41" s="54"/>
      <c r="L41" s="54"/>
      <c r="M41" s="54"/>
      <c r="N41" s="54"/>
      <c r="O41" s="54"/>
      <c r="P41" s="54"/>
      <c r="Q41" s="54"/>
      <c r="R41" s="54"/>
      <c r="S41" s="54"/>
      <c r="T41" s="54"/>
      <c r="U41" s="54"/>
      <c r="W41" s="54"/>
      <c r="X41" s="54"/>
      <c r="Y41" s="54"/>
      <c r="Z41" s="54"/>
      <c r="AA41" s="54"/>
      <c r="AB41" s="54"/>
      <c r="AC41" s="54"/>
    </row>
    <row r="42" spans="2:30" s="55" customFormat="1" ht="13" hidden="1" x14ac:dyDescent="0.3">
      <c r="C42" s="59"/>
      <c r="D42" s="54"/>
      <c r="E42" s="54"/>
      <c r="F42" s="54"/>
      <c r="G42" s="54"/>
      <c r="H42" s="54"/>
      <c r="I42" s="54"/>
      <c r="J42" s="54"/>
      <c r="K42" s="54"/>
      <c r="L42" s="54"/>
      <c r="M42" s="54"/>
      <c r="N42" s="54"/>
      <c r="O42" s="54"/>
      <c r="P42" s="54"/>
      <c r="Q42" s="54"/>
      <c r="R42" s="54"/>
      <c r="S42" s="54"/>
      <c r="T42" s="54"/>
      <c r="U42" s="54"/>
      <c r="W42" s="54"/>
      <c r="X42" s="54"/>
      <c r="Y42" s="54"/>
      <c r="Z42" s="54"/>
      <c r="AA42" s="54"/>
      <c r="AB42" s="54"/>
      <c r="AC42" s="54"/>
    </row>
    <row r="43" spans="2:30" s="55" customFormat="1" ht="13" hidden="1" x14ac:dyDescent="0.3">
      <c r="C43" s="59"/>
      <c r="D43" s="54"/>
      <c r="E43" s="54"/>
      <c r="F43" s="54"/>
      <c r="G43" s="54"/>
      <c r="H43" s="54"/>
      <c r="I43" s="54"/>
      <c r="J43" s="54"/>
      <c r="K43" s="54"/>
      <c r="L43" s="54"/>
      <c r="M43" s="54"/>
      <c r="N43" s="54"/>
      <c r="O43" s="54"/>
      <c r="P43" s="54"/>
      <c r="Q43" s="54"/>
      <c r="R43" s="54"/>
      <c r="S43" s="54"/>
      <c r="T43" s="54"/>
      <c r="U43" s="54"/>
      <c r="W43" s="54"/>
      <c r="X43" s="54"/>
      <c r="Y43" s="54"/>
      <c r="Z43" s="54"/>
      <c r="AA43" s="54"/>
      <c r="AB43" s="54"/>
      <c r="AC43" s="54"/>
    </row>
    <row r="44" spans="2:30" s="55" customFormat="1" ht="13" hidden="1" x14ac:dyDescent="0.3">
      <c r="C44" s="59"/>
      <c r="D44" s="54"/>
      <c r="E44" s="54"/>
      <c r="F44" s="54"/>
      <c r="G44" s="54"/>
      <c r="H44" s="54"/>
      <c r="I44" s="54"/>
      <c r="J44" s="54"/>
      <c r="K44" s="54"/>
      <c r="L44" s="54"/>
      <c r="M44" s="54"/>
      <c r="N44" s="54"/>
      <c r="O44" s="54"/>
      <c r="P44" s="54"/>
      <c r="Q44" s="54"/>
      <c r="R44" s="54"/>
      <c r="S44" s="54"/>
      <c r="T44" s="54"/>
      <c r="U44" s="54"/>
      <c r="W44" s="54"/>
      <c r="X44" s="54"/>
      <c r="Y44" s="54"/>
      <c r="Z44" s="54"/>
      <c r="AA44" s="54"/>
      <c r="AB44" s="54"/>
      <c r="AC44" s="54"/>
    </row>
    <row r="45" spans="2:30" s="55" customFormat="1" ht="13" hidden="1" x14ac:dyDescent="0.3">
      <c r="C45" s="59"/>
      <c r="D45" s="54"/>
      <c r="E45" s="54"/>
      <c r="F45" s="54"/>
      <c r="G45" s="54"/>
      <c r="H45" s="54"/>
      <c r="I45" s="54"/>
      <c r="J45" s="54"/>
      <c r="K45" s="54"/>
      <c r="L45" s="54"/>
      <c r="M45" s="54"/>
      <c r="N45" s="54"/>
      <c r="O45" s="54"/>
      <c r="P45" s="54"/>
      <c r="Q45" s="54"/>
      <c r="R45" s="54"/>
      <c r="S45" s="54"/>
      <c r="T45" s="54"/>
      <c r="U45" s="54"/>
      <c r="W45" s="54"/>
      <c r="X45" s="54"/>
      <c r="Y45" s="54"/>
      <c r="Z45" s="54"/>
      <c r="AA45" s="54"/>
      <c r="AB45" s="54"/>
      <c r="AC45" s="54"/>
    </row>
    <row r="46" spans="2:30" s="55" customFormat="1" ht="13" hidden="1" x14ac:dyDescent="0.3">
      <c r="C46" s="59"/>
      <c r="D46" s="54"/>
      <c r="E46" s="54"/>
      <c r="F46" s="54"/>
      <c r="G46" s="54"/>
      <c r="H46" s="54"/>
      <c r="I46" s="54"/>
      <c r="J46" s="54"/>
      <c r="K46" s="54"/>
      <c r="L46" s="54"/>
      <c r="M46" s="54"/>
      <c r="N46" s="54"/>
      <c r="O46" s="54"/>
      <c r="P46" s="54"/>
      <c r="Q46" s="54"/>
      <c r="R46" s="54"/>
      <c r="S46" s="54"/>
      <c r="T46" s="54"/>
      <c r="U46" s="54"/>
      <c r="W46" s="54"/>
      <c r="X46" s="54"/>
      <c r="Y46" s="54"/>
      <c r="Z46" s="54"/>
      <c r="AA46" s="54"/>
      <c r="AB46" s="54"/>
      <c r="AC46" s="54"/>
    </row>
    <row r="47" spans="2:30" s="55" customFormat="1" ht="13" hidden="1" x14ac:dyDescent="0.3">
      <c r="C47" s="59"/>
      <c r="D47" s="54"/>
      <c r="E47" s="54"/>
      <c r="F47" s="54"/>
      <c r="G47" s="54"/>
      <c r="H47" s="54"/>
      <c r="I47" s="54"/>
      <c r="J47" s="54"/>
      <c r="K47" s="54"/>
      <c r="L47" s="54"/>
      <c r="M47" s="54"/>
      <c r="N47" s="54"/>
      <c r="O47" s="54"/>
      <c r="P47" s="54"/>
      <c r="Q47" s="54"/>
      <c r="R47" s="54"/>
      <c r="S47" s="54"/>
      <c r="T47" s="54"/>
      <c r="U47" s="54"/>
      <c r="W47" s="54"/>
      <c r="X47" s="54"/>
      <c r="Y47" s="54"/>
      <c r="Z47" s="54"/>
      <c r="AA47" s="54"/>
      <c r="AB47" s="54"/>
      <c r="AC47" s="54"/>
    </row>
    <row r="48" spans="2:30" s="55" customFormat="1" ht="13" hidden="1" x14ac:dyDescent="0.3">
      <c r="C48" s="59"/>
      <c r="D48" s="54"/>
      <c r="E48" s="54"/>
      <c r="F48" s="54"/>
      <c r="G48" s="54"/>
      <c r="H48" s="54"/>
      <c r="I48" s="54"/>
      <c r="J48" s="54"/>
      <c r="K48" s="54"/>
      <c r="L48" s="54"/>
      <c r="M48" s="54"/>
      <c r="N48" s="54"/>
      <c r="O48" s="54"/>
      <c r="P48" s="54"/>
      <c r="Q48" s="54"/>
      <c r="R48" s="54"/>
      <c r="S48" s="54"/>
      <c r="T48" s="54"/>
      <c r="U48" s="54"/>
      <c r="W48" s="54"/>
      <c r="X48" s="54"/>
      <c r="Y48" s="54"/>
      <c r="Z48" s="54"/>
      <c r="AA48" s="54"/>
      <c r="AB48" s="54"/>
      <c r="AC48" s="54"/>
    </row>
  </sheetData>
  <sheetProtection password="BA01" sheet="1" objects="1" scenarios="1"/>
  <customSheetViews>
    <customSheetView guid="{BE55F258-44BC-4FB6-88BE-39351DF10384}" scale="70" showGridLines="0" fitToPage="1" hiddenRows="1" hiddenColumns="1">
      <selection activeCell="O3" sqref="O1:O65536"/>
      <pageMargins left="0" right="0" top="0.25" bottom="0.25" header="0.3" footer="0.3"/>
      <pageSetup scale="57" orientation="landscape" r:id="rId1"/>
    </customSheetView>
  </customSheetViews>
  <mergeCells count="31">
    <mergeCell ref="D15:D16"/>
    <mergeCell ref="I22:N22"/>
    <mergeCell ref="C22:F22"/>
    <mergeCell ref="C4:F4"/>
    <mergeCell ref="Y5:AD5"/>
    <mergeCell ref="C19:C20"/>
    <mergeCell ref="C5:E5"/>
    <mergeCell ref="D17:D18"/>
    <mergeCell ref="D19:D20"/>
    <mergeCell ref="Q5:V5"/>
    <mergeCell ref="D9:D10"/>
    <mergeCell ref="C9:C18"/>
    <mergeCell ref="C37:AC37"/>
    <mergeCell ref="C36:E36"/>
    <mergeCell ref="I23:N23"/>
    <mergeCell ref="D32:D33"/>
    <mergeCell ref="Q22:AD22"/>
    <mergeCell ref="D28:D29"/>
    <mergeCell ref="C26:C33"/>
    <mergeCell ref="C23:E23"/>
    <mergeCell ref="D30:D31"/>
    <mergeCell ref="Q23:V23"/>
    <mergeCell ref="Y23:AD23"/>
    <mergeCell ref="D26:D27"/>
    <mergeCell ref="B1:AD1"/>
    <mergeCell ref="B2:AD2"/>
    <mergeCell ref="D11:D12"/>
    <mergeCell ref="D13:D14"/>
    <mergeCell ref="H5:N5"/>
    <mergeCell ref="Q4:AD4"/>
    <mergeCell ref="H4:N4"/>
  </mergeCells>
  <pageMargins left="0" right="0" top="0.25" bottom="0.25" header="0.3" footer="0.3"/>
  <pageSetup scale="32"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sheetPr>
  <dimension ref="B2:E540"/>
  <sheetViews>
    <sheetView zoomScaleNormal="100" workbookViewId="0">
      <pane ySplit="8" topLeftCell="A532" activePane="bottomLeft" state="frozen"/>
      <selection pane="bottomLeft" activeCell="B7" sqref="B7"/>
    </sheetView>
  </sheetViews>
  <sheetFormatPr defaultColWidth="9.1796875" defaultRowHeight="15.5" x14ac:dyDescent="0.35"/>
  <cols>
    <col min="1" max="1" width="3.54296875" style="22" customWidth="1"/>
    <col min="2" max="2" width="18.54296875" style="22" customWidth="1"/>
    <col min="3" max="3" width="131.453125" style="24" customWidth="1"/>
    <col min="4" max="4" width="9.1796875" style="24"/>
    <col min="5" max="5" width="10.453125" style="25" bestFit="1" customWidth="1"/>
    <col min="6" max="16384" width="9.1796875" style="22"/>
  </cols>
  <sheetData>
    <row r="2" spans="2:5" x14ac:dyDescent="0.35">
      <c r="B2" s="23" t="s">
        <v>791</v>
      </c>
    </row>
    <row r="3" spans="2:5" ht="16" thickBot="1" x14ac:dyDescent="0.4">
      <c r="B3" s="22" t="s">
        <v>155</v>
      </c>
    </row>
    <row r="4" spans="2:5" ht="16" thickBot="1" x14ac:dyDescent="0.4">
      <c r="B4" s="268">
        <v>2024</v>
      </c>
      <c r="C4" s="24" t="s">
        <v>745</v>
      </c>
    </row>
    <row r="5" spans="2:5" ht="16" thickBot="1" x14ac:dyDescent="0.4">
      <c r="B5" s="26" t="s">
        <v>768</v>
      </c>
      <c r="C5" s="24" t="s">
        <v>58</v>
      </c>
    </row>
    <row r="6" spans="2:5" ht="16" thickBot="1" x14ac:dyDescent="0.4">
      <c r="B6" s="986" t="s">
        <v>2358</v>
      </c>
      <c r="C6" s="24" t="s">
        <v>59</v>
      </c>
    </row>
    <row r="7" spans="2:5" x14ac:dyDescent="0.35">
      <c r="B7" s="725"/>
      <c r="C7" s="22"/>
    </row>
    <row r="8" spans="2:5" x14ac:dyDescent="0.35">
      <c r="B8" s="27" t="s">
        <v>60</v>
      </c>
      <c r="C8" s="28" t="s">
        <v>61</v>
      </c>
      <c r="D8" s="28" t="s">
        <v>62</v>
      </c>
      <c r="E8" s="29" t="s">
        <v>63</v>
      </c>
    </row>
    <row r="9" spans="2:5" x14ac:dyDescent="0.35">
      <c r="B9" s="46" t="s">
        <v>68</v>
      </c>
      <c r="C9" s="47" t="s">
        <v>65</v>
      </c>
      <c r="D9" s="47" t="s">
        <v>64</v>
      </c>
      <c r="E9" s="48" t="s">
        <v>156</v>
      </c>
    </row>
    <row r="10" spans="2:5" x14ac:dyDescent="0.35">
      <c r="B10" s="49" t="s">
        <v>68</v>
      </c>
      <c r="C10" s="50" t="s">
        <v>154</v>
      </c>
      <c r="D10" s="50" t="s">
        <v>64</v>
      </c>
      <c r="E10" s="51" t="s">
        <v>163</v>
      </c>
    </row>
    <row r="11" spans="2:5" x14ac:dyDescent="0.35">
      <c r="B11" s="52"/>
      <c r="C11" s="52" t="s">
        <v>153</v>
      </c>
      <c r="D11" s="52"/>
      <c r="E11" s="52"/>
    </row>
    <row r="12" spans="2:5" x14ac:dyDescent="0.35">
      <c r="B12" s="52"/>
      <c r="C12" s="52" t="s">
        <v>152</v>
      </c>
      <c r="D12" s="50"/>
      <c r="E12" s="51"/>
    </row>
    <row r="13" spans="2:5" x14ac:dyDescent="0.35">
      <c r="B13" s="52"/>
      <c r="C13" s="50" t="s">
        <v>151</v>
      </c>
      <c r="D13" s="50"/>
      <c r="E13" s="51"/>
    </row>
    <row r="14" spans="2:5" x14ac:dyDescent="0.35">
      <c r="B14" s="52"/>
      <c r="C14" s="50" t="s">
        <v>78</v>
      </c>
      <c r="D14" s="50"/>
      <c r="E14" s="50"/>
    </row>
    <row r="15" spans="2:5" x14ac:dyDescent="0.35">
      <c r="B15" s="53" t="s">
        <v>69</v>
      </c>
      <c r="C15" s="47" t="s">
        <v>70</v>
      </c>
      <c r="D15" s="47" t="s">
        <v>64</v>
      </c>
      <c r="E15" s="48" t="s">
        <v>157</v>
      </c>
    </row>
    <row r="16" spans="2:5" x14ac:dyDescent="0.35">
      <c r="B16" s="53"/>
      <c r="C16" s="47" t="s">
        <v>74</v>
      </c>
      <c r="D16" s="47"/>
      <c r="E16" s="48"/>
    </row>
    <row r="17" spans="2:5" x14ac:dyDescent="0.35">
      <c r="B17" s="53" t="s">
        <v>75</v>
      </c>
      <c r="C17" s="47" t="s">
        <v>76</v>
      </c>
      <c r="D17" s="47" t="s">
        <v>64</v>
      </c>
      <c r="E17" s="48" t="s">
        <v>158</v>
      </c>
    </row>
    <row r="18" spans="2:5" x14ac:dyDescent="0.35">
      <c r="B18" s="53"/>
      <c r="C18" s="47" t="s">
        <v>77</v>
      </c>
      <c r="D18" s="47"/>
      <c r="E18" s="48"/>
    </row>
    <row r="19" spans="2:5" x14ac:dyDescent="0.35">
      <c r="B19" s="53"/>
      <c r="C19" s="47" t="s">
        <v>78</v>
      </c>
      <c r="D19" s="47"/>
      <c r="E19" s="48"/>
    </row>
    <row r="20" spans="2:5" x14ac:dyDescent="0.35">
      <c r="B20" s="53"/>
      <c r="C20" s="47" t="s">
        <v>80</v>
      </c>
      <c r="D20" s="47"/>
      <c r="E20" s="48"/>
    </row>
    <row r="21" spans="2:5" x14ac:dyDescent="0.35">
      <c r="B21" s="53" t="s">
        <v>75</v>
      </c>
      <c r="C21" s="47" t="s">
        <v>81</v>
      </c>
      <c r="D21" s="47" t="s">
        <v>83</v>
      </c>
      <c r="E21" s="48" t="s">
        <v>159</v>
      </c>
    </row>
    <row r="22" spans="2:5" x14ac:dyDescent="0.35">
      <c r="B22" s="53" t="s">
        <v>82</v>
      </c>
      <c r="C22" s="47" t="s">
        <v>81</v>
      </c>
      <c r="D22" s="47" t="s">
        <v>64</v>
      </c>
      <c r="E22" s="48" t="s">
        <v>160</v>
      </c>
    </row>
    <row r="23" spans="2:5" x14ac:dyDescent="0.35">
      <c r="B23" s="53"/>
      <c r="C23" s="47" t="s">
        <v>84</v>
      </c>
      <c r="D23" s="47"/>
      <c r="E23" s="48"/>
    </row>
    <row r="24" spans="2:5" x14ac:dyDescent="0.35">
      <c r="B24" s="53"/>
      <c r="C24" s="47" t="s">
        <v>85</v>
      </c>
      <c r="D24" s="47"/>
      <c r="E24" s="48"/>
    </row>
    <row r="25" spans="2:5" x14ac:dyDescent="0.35">
      <c r="B25" s="53"/>
      <c r="C25" s="47" t="s">
        <v>86</v>
      </c>
      <c r="D25" s="47"/>
      <c r="E25" s="48"/>
    </row>
    <row r="26" spans="2:5" x14ac:dyDescent="0.35">
      <c r="B26" s="53" t="s">
        <v>82</v>
      </c>
      <c r="C26" s="47" t="s">
        <v>87</v>
      </c>
      <c r="D26" s="47" t="s">
        <v>64</v>
      </c>
      <c r="E26" s="48" t="s">
        <v>161</v>
      </c>
    </row>
    <row r="27" spans="2:5" x14ac:dyDescent="0.35">
      <c r="B27" s="53" t="s">
        <v>88</v>
      </c>
      <c r="C27" s="47" t="s">
        <v>89</v>
      </c>
      <c r="D27" s="47" t="s">
        <v>64</v>
      </c>
      <c r="E27" s="48" t="s">
        <v>162</v>
      </c>
    </row>
    <row r="28" spans="2:5" x14ac:dyDescent="0.35">
      <c r="B28" s="52" t="s">
        <v>88</v>
      </c>
      <c r="C28" s="50" t="s">
        <v>74</v>
      </c>
      <c r="D28" s="50" t="s">
        <v>64</v>
      </c>
      <c r="E28" s="51" t="s">
        <v>164</v>
      </c>
    </row>
    <row r="29" spans="2:5" x14ac:dyDescent="0.35">
      <c r="B29" s="52"/>
      <c r="C29" s="50" t="s">
        <v>80</v>
      </c>
      <c r="D29" s="50"/>
      <c r="E29" s="50"/>
    </row>
    <row r="30" spans="2:5" x14ac:dyDescent="0.35">
      <c r="B30" s="52" t="s">
        <v>166</v>
      </c>
      <c r="C30" s="50" t="s">
        <v>150</v>
      </c>
      <c r="D30" s="50" t="s">
        <v>64</v>
      </c>
      <c r="E30" s="51" t="s">
        <v>164</v>
      </c>
    </row>
    <row r="31" spans="2:5" x14ac:dyDescent="0.35">
      <c r="B31" s="52"/>
      <c r="C31" s="50" t="s">
        <v>149</v>
      </c>
      <c r="D31" s="52"/>
      <c r="E31" s="52"/>
    </row>
    <row r="32" spans="2:5" x14ac:dyDescent="0.35">
      <c r="B32" s="52" t="s">
        <v>167</v>
      </c>
      <c r="C32" s="50" t="s">
        <v>148</v>
      </c>
      <c r="D32" s="50" t="s">
        <v>64</v>
      </c>
      <c r="E32" s="51" t="s">
        <v>164</v>
      </c>
    </row>
    <row r="33" spans="2:5" x14ac:dyDescent="0.35">
      <c r="B33" s="52"/>
      <c r="C33" s="50" t="s">
        <v>77</v>
      </c>
      <c r="D33" s="50"/>
      <c r="E33" s="50"/>
    </row>
    <row r="34" spans="2:5" x14ac:dyDescent="0.35">
      <c r="B34" s="52"/>
      <c r="C34" s="50" t="s">
        <v>81</v>
      </c>
      <c r="D34" s="50"/>
      <c r="E34" s="50"/>
    </row>
    <row r="35" spans="2:5" x14ac:dyDescent="0.35">
      <c r="B35" s="52"/>
      <c r="C35" s="50" t="s">
        <v>147</v>
      </c>
      <c r="D35" s="52"/>
      <c r="E35" s="52"/>
    </row>
    <row r="36" spans="2:5" x14ac:dyDescent="0.35">
      <c r="B36" s="52" t="s">
        <v>167</v>
      </c>
      <c r="C36" s="52" t="s">
        <v>76</v>
      </c>
      <c r="D36" s="50" t="s">
        <v>64</v>
      </c>
      <c r="E36" s="51" t="s">
        <v>165</v>
      </c>
    </row>
    <row r="37" spans="2:5" x14ac:dyDescent="0.35">
      <c r="B37" s="22" t="s">
        <v>168</v>
      </c>
      <c r="C37" s="24" t="s">
        <v>169</v>
      </c>
      <c r="D37" s="24" t="s">
        <v>64</v>
      </c>
      <c r="E37" s="25" t="s">
        <v>71</v>
      </c>
    </row>
    <row r="38" spans="2:5" x14ac:dyDescent="0.35">
      <c r="B38" s="22" t="s">
        <v>187</v>
      </c>
      <c r="C38" s="24" t="s">
        <v>188</v>
      </c>
      <c r="D38" s="24" t="s">
        <v>64</v>
      </c>
      <c r="E38" s="25" t="s">
        <v>189</v>
      </c>
    </row>
    <row r="39" spans="2:5" x14ac:dyDescent="0.35">
      <c r="B39" s="22" t="s">
        <v>194</v>
      </c>
      <c r="C39" s="24" t="s">
        <v>195</v>
      </c>
      <c r="D39" s="24" t="s">
        <v>64</v>
      </c>
      <c r="E39" s="25" t="s">
        <v>196</v>
      </c>
    </row>
    <row r="40" spans="2:5" x14ac:dyDescent="0.35">
      <c r="B40" s="22" t="s">
        <v>197</v>
      </c>
      <c r="C40" s="64" t="s">
        <v>199</v>
      </c>
      <c r="D40" s="24" t="s">
        <v>64</v>
      </c>
      <c r="E40" s="25" t="s">
        <v>198</v>
      </c>
    </row>
    <row r="41" spans="2:5" x14ac:dyDescent="0.35">
      <c r="C41" s="24" t="s">
        <v>200</v>
      </c>
    </row>
    <row r="42" spans="2:5" x14ac:dyDescent="0.35">
      <c r="B42" s="22" t="s">
        <v>197</v>
      </c>
      <c r="C42" s="24" t="s">
        <v>221</v>
      </c>
      <c r="D42" s="24" t="s">
        <v>64</v>
      </c>
      <c r="E42" s="25" t="s">
        <v>222</v>
      </c>
    </row>
    <row r="43" spans="2:5" x14ac:dyDescent="0.35">
      <c r="B43" s="22" t="s">
        <v>224</v>
      </c>
      <c r="C43" s="24" t="s">
        <v>225</v>
      </c>
      <c r="D43" s="24" t="s">
        <v>64</v>
      </c>
      <c r="E43" s="25" t="s">
        <v>223</v>
      </c>
    </row>
    <row r="44" spans="2:5" x14ac:dyDescent="0.35">
      <c r="B44" s="22" t="s">
        <v>224</v>
      </c>
      <c r="C44" s="24" t="s">
        <v>231</v>
      </c>
      <c r="D44" s="24" t="s">
        <v>64</v>
      </c>
      <c r="E44" s="25" t="s">
        <v>232</v>
      </c>
    </row>
    <row r="45" spans="2:5" x14ac:dyDescent="0.35">
      <c r="C45" s="24" t="s">
        <v>233</v>
      </c>
    </row>
    <row r="46" spans="2:5" x14ac:dyDescent="0.35">
      <c r="C46" s="24" t="s">
        <v>237</v>
      </c>
    </row>
    <row r="47" spans="2:5" x14ac:dyDescent="0.35">
      <c r="C47" s="47" t="s">
        <v>240</v>
      </c>
    </row>
    <row r="48" spans="2:5" x14ac:dyDescent="0.35">
      <c r="B48" s="22" t="s">
        <v>238</v>
      </c>
      <c r="C48" s="24" t="s">
        <v>239</v>
      </c>
      <c r="D48" s="24" t="s">
        <v>64</v>
      </c>
      <c r="E48" s="25" t="s">
        <v>750</v>
      </c>
    </row>
    <row r="49" spans="2:5" x14ac:dyDescent="0.35">
      <c r="B49" s="22" t="s">
        <v>321</v>
      </c>
      <c r="C49" s="24" t="s">
        <v>322</v>
      </c>
      <c r="D49" s="24" t="s">
        <v>323</v>
      </c>
      <c r="E49" s="25" t="s">
        <v>751</v>
      </c>
    </row>
    <row r="50" spans="2:5" x14ac:dyDescent="0.35">
      <c r="B50" s="22" t="s">
        <v>325</v>
      </c>
      <c r="C50" s="24" t="s">
        <v>326</v>
      </c>
      <c r="D50" s="24" t="s">
        <v>83</v>
      </c>
      <c r="E50" s="25" t="s">
        <v>752</v>
      </c>
    </row>
    <row r="51" spans="2:5" x14ac:dyDescent="0.35">
      <c r="C51" s="24" t="s">
        <v>327</v>
      </c>
      <c r="D51" s="24" t="s">
        <v>83</v>
      </c>
      <c r="E51" s="25" t="s">
        <v>752</v>
      </c>
    </row>
    <row r="52" spans="2:5" x14ac:dyDescent="0.35">
      <c r="B52" s="22" t="s">
        <v>427</v>
      </c>
      <c r="C52" s="24" t="s">
        <v>436</v>
      </c>
      <c r="D52" s="24" t="s">
        <v>323</v>
      </c>
      <c r="E52" s="25" t="s">
        <v>753</v>
      </c>
    </row>
    <row r="53" spans="2:5" x14ac:dyDescent="0.35">
      <c r="B53" s="22" t="s">
        <v>427</v>
      </c>
      <c r="C53" s="24" t="s">
        <v>428</v>
      </c>
      <c r="D53" s="24" t="s">
        <v>64</v>
      </c>
      <c r="E53" s="25" t="s">
        <v>753</v>
      </c>
    </row>
    <row r="54" spans="2:5" x14ac:dyDescent="0.35">
      <c r="C54" s="24" t="s">
        <v>429</v>
      </c>
    </row>
    <row r="55" spans="2:5" x14ac:dyDescent="0.35">
      <c r="B55" s="22" t="s">
        <v>434</v>
      </c>
      <c r="C55" s="24" t="s">
        <v>435</v>
      </c>
      <c r="D55" s="24" t="s">
        <v>64</v>
      </c>
      <c r="E55" s="25" t="s">
        <v>753</v>
      </c>
    </row>
    <row r="56" spans="2:5" x14ac:dyDescent="0.35">
      <c r="B56" s="22" t="s">
        <v>533</v>
      </c>
      <c r="C56" s="24" t="s">
        <v>81</v>
      </c>
      <c r="D56" s="24" t="s">
        <v>64</v>
      </c>
      <c r="E56" s="25" t="s">
        <v>753</v>
      </c>
    </row>
    <row r="57" spans="2:5" x14ac:dyDescent="0.35">
      <c r="C57" s="24" t="s">
        <v>534</v>
      </c>
      <c r="E57" s="30"/>
    </row>
    <row r="58" spans="2:5" x14ac:dyDescent="0.35">
      <c r="C58" s="24" t="s">
        <v>535</v>
      </c>
      <c r="E58" s="30"/>
    </row>
    <row r="59" spans="2:5" x14ac:dyDescent="0.35">
      <c r="B59" s="22" t="s">
        <v>536</v>
      </c>
      <c r="C59" s="24" t="s">
        <v>543</v>
      </c>
      <c r="D59" s="24" t="s">
        <v>83</v>
      </c>
      <c r="E59" s="25" t="s">
        <v>753</v>
      </c>
    </row>
    <row r="60" spans="2:5" x14ac:dyDescent="0.35">
      <c r="B60" s="22" t="s">
        <v>542</v>
      </c>
      <c r="C60" s="24" t="s">
        <v>544</v>
      </c>
      <c r="D60" s="24" t="s">
        <v>64</v>
      </c>
      <c r="E60" s="25" t="s">
        <v>754</v>
      </c>
    </row>
    <row r="61" spans="2:5" x14ac:dyDescent="0.35">
      <c r="C61" s="24" t="s">
        <v>545</v>
      </c>
    </row>
    <row r="62" spans="2:5" x14ac:dyDescent="0.35">
      <c r="B62" s="22" t="s">
        <v>554</v>
      </c>
      <c r="C62" s="24" t="s">
        <v>555</v>
      </c>
      <c r="D62" s="24" t="s">
        <v>323</v>
      </c>
      <c r="E62" s="25" t="s">
        <v>755</v>
      </c>
    </row>
    <row r="63" spans="2:5" x14ac:dyDescent="0.35">
      <c r="B63" s="22" t="s">
        <v>560</v>
      </c>
      <c r="C63" s="24" t="s">
        <v>561</v>
      </c>
      <c r="D63" s="24" t="s">
        <v>64</v>
      </c>
      <c r="E63" s="25" t="s">
        <v>755</v>
      </c>
    </row>
    <row r="64" spans="2:5" x14ac:dyDescent="0.35">
      <c r="B64" s="22" t="s">
        <v>588</v>
      </c>
      <c r="C64" s="24" t="s">
        <v>587</v>
      </c>
      <c r="D64" s="24" t="s">
        <v>64</v>
      </c>
      <c r="E64" s="25" t="s">
        <v>755</v>
      </c>
    </row>
    <row r="65" spans="2:5" x14ac:dyDescent="0.35">
      <c r="C65" s="24" t="s">
        <v>589</v>
      </c>
    </row>
    <row r="66" spans="2:5" x14ac:dyDescent="0.35">
      <c r="C66" s="24" t="s">
        <v>590</v>
      </c>
    </row>
    <row r="67" spans="2:5" x14ac:dyDescent="0.35">
      <c r="B67" s="22" t="s">
        <v>591</v>
      </c>
      <c r="C67" s="24" t="s">
        <v>592</v>
      </c>
      <c r="D67" s="24" t="s">
        <v>64</v>
      </c>
      <c r="E67" s="25" t="s">
        <v>755</v>
      </c>
    </row>
    <row r="68" spans="2:5" x14ac:dyDescent="0.35">
      <c r="B68" s="22" t="s">
        <v>593</v>
      </c>
      <c r="C68" s="24" t="s">
        <v>594</v>
      </c>
      <c r="D68" s="24" t="s">
        <v>64</v>
      </c>
      <c r="E68" s="25" t="s">
        <v>755</v>
      </c>
    </row>
    <row r="69" spans="2:5" x14ac:dyDescent="0.35">
      <c r="B69" s="22" t="s">
        <v>595</v>
      </c>
      <c r="C69" s="24" t="s">
        <v>596</v>
      </c>
      <c r="D69" s="24" t="s">
        <v>64</v>
      </c>
      <c r="E69" s="25" t="s">
        <v>755</v>
      </c>
    </row>
    <row r="70" spans="2:5" x14ac:dyDescent="0.35">
      <c r="B70" s="22" t="s">
        <v>598</v>
      </c>
      <c r="C70" s="24" t="s">
        <v>599</v>
      </c>
      <c r="D70" s="24" t="s">
        <v>64</v>
      </c>
      <c r="E70" s="25" t="s">
        <v>755</v>
      </c>
    </row>
    <row r="71" spans="2:5" x14ac:dyDescent="0.35">
      <c r="B71" s="22" t="s">
        <v>602</v>
      </c>
      <c r="C71" s="24" t="s">
        <v>603</v>
      </c>
      <c r="D71" s="24" t="s">
        <v>64</v>
      </c>
      <c r="E71" s="25" t="s">
        <v>755</v>
      </c>
    </row>
    <row r="72" spans="2:5" x14ac:dyDescent="0.35">
      <c r="B72" s="22" t="s">
        <v>604</v>
      </c>
      <c r="C72" s="24" t="s">
        <v>605</v>
      </c>
      <c r="D72" s="24" t="s">
        <v>64</v>
      </c>
      <c r="E72" s="25" t="s">
        <v>755</v>
      </c>
    </row>
    <row r="73" spans="2:5" x14ac:dyDescent="0.35">
      <c r="B73" s="22" t="s">
        <v>609</v>
      </c>
      <c r="C73" s="24" t="s">
        <v>610</v>
      </c>
      <c r="D73" s="24" t="s">
        <v>64</v>
      </c>
      <c r="E73" s="25" t="s">
        <v>755</v>
      </c>
    </row>
    <row r="74" spans="2:5" x14ac:dyDescent="0.35">
      <c r="C74" s="24" t="s">
        <v>633</v>
      </c>
    </row>
    <row r="75" spans="2:5" x14ac:dyDescent="0.35">
      <c r="C75" s="24" t="s">
        <v>634</v>
      </c>
    </row>
    <row r="76" spans="2:5" x14ac:dyDescent="0.35">
      <c r="C76" s="24" t="s">
        <v>635</v>
      </c>
    </row>
    <row r="77" spans="2:5" x14ac:dyDescent="0.35">
      <c r="B77" s="22" t="s">
        <v>642</v>
      </c>
      <c r="C77" s="24" t="s">
        <v>641</v>
      </c>
      <c r="D77" s="24" t="s">
        <v>323</v>
      </c>
      <c r="E77" s="25" t="s">
        <v>755</v>
      </c>
    </row>
    <row r="78" spans="2:5" x14ac:dyDescent="0.35">
      <c r="B78" s="22" t="s">
        <v>645</v>
      </c>
      <c r="C78" s="24" t="s">
        <v>643</v>
      </c>
      <c r="D78" s="24" t="s">
        <v>323</v>
      </c>
      <c r="E78" s="25" t="s">
        <v>755</v>
      </c>
    </row>
    <row r="79" spans="2:5" x14ac:dyDescent="0.35">
      <c r="B79" s="22" t="s">
        <v>645</v>
      </c>
      <c r="C79" s="24" t="s">
        <v>644</v>
      </c>
      <c r="D79" s="24" t="s">
        <v>323</v>
      </c>
      <c r="E79" s="25" t="s">
        <v>755</v>
      </c>
    </row>
    <row r="80" spans="2:5" x14ac:dyDescent="0.35">
      <c r="C80" s="47" t="s">
        <v>756</v>
      </c>
    </row>
    <row r="81" spans="2:5" x14ac:dyDescent="0.35">
      <c r="B81" s="22" t="s">
        <v>746</v>
      </c>
      <c r="C81" s="24" t="s">
        <v>747</v>
      </c>
      <c r="D81" s="24" t="s">
        <v>323</v>
      </c>
      <c r="E81" s="25" t="s">
        <v>749</v>
      </c>
    </row>
    <row r="82" spans="2:5" x14ac:dyDescent="0.35">
      <c r="B82" s="22" t="s">
        <v>746</v>
      </c>
      <c r="C82" s="24" t="s">
        <v>748</v>
      </c>
      <c r="D82" s="24" t="s">
        <v>323</v>
      </c>
      <c r="E82" s="25" t="s">
        <v>749</v>
      </c>
    </row>
    <row r="83" spans="2:5" x14ac:dyDescent="0.35">
      <c r="B83" s="22" t="s">
        <v>746</v>
      </c>
      <c r="C83" s="24" t="s">
        <v>757</v>
      </c>
      <c r="D83" s="24" t="s">
        <v>64</v>
      </c>
      <c r="E83" s="25" t="s">
        <v>749</v>
      </c>
    </row>
    <row r="84" spans="2:5" x14ac:dyDescent="0.35">
      <c r="B84" s="22" t="s">
        <v>746</v>
      </c>
      <c r="C84" s="24" t="s">
        <v>758</v>
      </c>
      <c r="D84" s="24" t="s">
        <v>64</v>
      </c>
      <c r="E84" s="25" t="s">
        <v>749</v>
      </c>
    </row>
    <row r="85" spans="2:5" x14ac:dyDescent="0.35">
      <c r="B85" s="22" t="s">
        <v>767</v>
      </c>
      <c r="C85" s="24" t="s">
        <v>765</v>
      </c>
      <c r="D85" s="24" t="s">
        <v>323</v>
      </c>
      <c r="E85" s="25" t="s">
        <v>749</v>
      </c>
    </row>
    <row r="86" spans="2:5" x14ac:dyDescent="0.35">
      <c r="B86" s="22" t="s">
        <v>767</v>
      </c>
      <c r="C86" s="24" t="s">
        <v>766</v>
      </c>
      <c r="D86" s="24" t="s">
        <v>323</v>
      </c>
      <c r="E86" s="25" t="s">
        <v>749</v>
      </c>
    </row>
    <row r="87" spans="2:5" x14ac:dyDescent="0.35">
      <c r="B87" s="22" t="s">
        <v>771</v>
      </c>
      <c r="C87" s="24" t="s">
        <v>769</v>
      </c>
      <c r="D87" s="24" t="s">
        <v>323</v>
      </c>
      <c r="E87" s="25" t="s">
        <v>768</v>
      </c>
    </row>
    <row r="88" spans="2:5" x14ac:dyDescent="0.35">
      <c r="B88" s="22" t="s">
        <v>772</v>
      </c>
      <c r="C88" s="24" t="s">
        <v>770</v>
      </c>
      <c r="D88" s="24" t="s">
        <v>323</v>
      </c>
      <c r="E88" s="25" t="s">
        <v>768</v>
      </c>
    </row>
    <row r="89" spans="2:5" x14ac:dyDescent="0.35">
      <c r="B89" s="22" t="s">
        <v>772</v>
      </c>
      <c r="C89" s="24" t="s">
        <v>773</v>
      </c>
      <c r="D89" s="24" t="s">
        <v>323</v>
      </c>
      <c r="E89" s="25" t="s">
        <v>768</v>
      </c>
    </row>
    <row r="90" spans="2:5" x14ac:dyDescent="0.35">
      <c r="B90" s="22" t="s">
        <v>775</v>
      </c>
      <c r="C90" s="24" t="s">
        <v>774</v>
      </c>
      <c r="D90" s="24" t="s">
        <v>64</v>
      </c>
      <c r="E90" s="25" t="s">
        <v>768</v>
      </c>
    </row>
    <row r="91" spans="2:5" x14ac:dyDescent="0.35">
      <c r="B91" s="22" t="s">
        <v>779</v>
      </c>
      <c r="C91" s="24" t="s">
        <v>785</v>
      </c>
      <c r="D91" s="24" t="s">
        <v>323</v>
      </c>
      <c r="E91" s="25" t="s">
        <v>784</v>
      </c>
    </row>
    <row r="92" spans="2:5" x14ac:dyDescent="0.35">
      <c r="B92" s="22" t="s">
        <v>779</v>
      </c>
      <c r="C92" s="24" t="s">
        <v>778</v>
      </c>
      <c r="D92" s="24" t="s">
        <v>323</v>
      </c>
      <c r="E92" s="25" t="s">
        <v>777</v>
      </c>
    </row>
    <row r="93" spans="2:5" x14ac:dyDescent="0.35">
      <c r="B93" s="22" t="s">
        <v>779</v>
      </c>
      <c r="C93" s="24" t="s">
        <v>780</v>
      </c>
      <c r="D93" s="24" t="s">
        <v>323</v>
      </c>
      <c r="E93" s="25" t="s">
        <v>777</v>
      </c>
    </row>
    <row r="94" spans="2:5" x14ac:dyDescent="0.35">
      <c r="B94" s="22" t="s">
        <v>779</v>
      </c>
      <c r="C94" s="24" t="s">
        <v>817</v>
      </c>
      <c r="D94" s="24" t="s">
        <v>323</v>
      </c>
      <c r="E94" s="25" t="s">
        <v>777</v>
      </c>
    </row>
    <row r="95" spans="2:5" x14ac:dyDescent="0.35">
      <c r="B95" s="22" t="s">
        <v>783</v>
      </c>
      <c r="C95" s="24" t="s">
        <v>782</v>
      </c>
      <c r="D95" s="24" t="s">
        <v>323</v>
      </c>
      <c r="E95" s="25" t="s">
        <v>777</v>
      </c>
    </row>
    <row r="96" spans="2:5" x14ac:dyDescent="0.35">
      <c r="B96" s="22" t="s">
        <v>783</v>
      </c>
      <c r="C96" s="24" t="s">
        <v>786</v>
      </c>
      <c r="D96" s="24" t="s">
        <v>323</v>
      </c>
      <c r="E96" s="25" t="s">
        <v>777</v>
      </c>
    </row>
    <row r="97" spans="2:5" x14ac:dyDescent="0.35">
      <c r="B97" s="22" t="s">
        <v>789</v>
      </c>
      <c r="C97" s="24" t="s">
        <v>788</v>
      </c>
      <c r="D97" s="24" t="s">
        <v>323</v>
      </c>
      <c r="E97" s="25" t="s">
        <v>787</v>
      </c>
    </row>
    <row r="98" spans="2:5" x14ac:dyDescent="0.35">
      <c r="B98" s="22" t="s">
        <v>797</v>
      </c>
      <c r="C98" s="24" t="s">
        <v>792</v>
      </c>
      <c r="D98" s="24" t="s">
        <v>323</v>
      </c>
      <c r="E98" s="25" t="s">
        <v>790</v>
      </c>
    </row>
    <row r="99" spans="2:5" x14ac:dyDescent="0.35">
      <c r="B99" s="22" t="s">
        <v>797</v>
      </c>
      <c r="C99" s="24" t="s">
        <v>795</v>
      </c>
      <c r="D99" s="24" t="s">
        <v>323</v>
      </c>
      <c r="E99" s="25" t="s">
        <v>790</v>
      </c>
    </row>
    <row r="100" spans="2:5" x14ac:dyDescent="0.35">
      <c r="B100" s="22" t="s">
        <v>797</v>
      </c>
      <c r="C100" s="24" t="s">
        <v>793</v>
      </c>
      <c r="D100" s="24" t="s">
        <v>323</v>
      </c>
      <c r="E100" s="25" t="s">
        <v>790</v>
      </c>
    </row>
    <row r="101" spans="2:5" x14ac:dyDescent="0.35">
      <c r="B101" s="22" t="s">
        <v>797</v>
      </c>
      <c r="C101" s="24" t="s">
        <v>796</v>
      </c>
      <c r="D101" s="24" t="s">
        <v>323</v>
      </c>
      <c r="E101" s="25" t="s">
        <v>790</v>
      </c>
    </row>
    <row r="102" spans="2:5" x14ac:dyDescent="0.35">
      <c r="B102" s="22" t="s">
        <v>797</v>
      </c>
      <c r="C102" s="24" t="s">
        <v>794</v>
      </c>
      <c r="D102" s="24" t="s">
        <v>323</v>
      </c>
      <c r="E102" s="25" t="s">
        <v>790</v>
      </c>
    </row>
    <row r="103" spans="2:5" x14ac:dyDescent="0.35">
      <c r="B103" s="22" t="s">
        <v>801</v>
      </c>
      <c r="C103" s="24" t="s">
        <v>800</v>
      </c>
      <c r="D103" s="24" t="s">
        <v>323</v>
      </c>
      <c r="E103" s="25" t="s">
        <v>798</v>
      </c>
    </row>
    <row r="104" spans="2:5" x14ac:dyDescent="0.35">
      <c r="B104" s="22" t="s">
        <v>801</v>
      </c>
      <c r="C104" s="24" t="s">
        <v>799</v>
      </c>
    </row>
    <row r="105" spans="2:5" x14ac:dyDescent="0.35">
      <c r="B105" s="22" t="s">
        <v>804</v>
      </c>
      <c r="C105" s="24" t="s">
        <v>803</v>
      </c>
      <c r="D105" s="24" t="s">
        <v>323</v>
      </c>
      <c r="E105" s="25" t="s">
        <v>790</v>
      </c>
    </row>
    <row r="106" spans="2:5" x14ac:dyDescent="0.35">
      <c r="B106" s="22" t="s">
        <v>806</v>
      </c>
      <c r="C106" s="24" t="s">
        <v>805</v>
      </c>
      <c r="D106" s="24" t="s">
        <v>323</v>
      </c>
      <c r="E106" s="25" t="s">
        <v>790</v>
      </c>
    </row>
    <row r="107" spans="2:5" x14ac:dyDescent="0.35">
      <c r="B107" s="22" t="s">
        <v>810</v>
      </c>
      <c r="C107" s="24" t="s">
        <v>811</v>
      </c>
      <c r="D107" s="24" t="s">
        <v>64</v>
      </c>
      <c r="E107" s="25" t="s">
        <v>790</v>
      </c>
    </row>
    <row r="108" spans="2:5" x14ac:dyDescent="0.35">
      <c r="B108" s="22" t="s">
        <v>810</v>
      </c>
      <c r="C108" s="24" t="s">
        <v>814</v>
      </c>
      <c r="D108" s="24" t="s">
        <v>64</v>
      </c>
      <c r="E108" s="25" t="s">
        <v>790</v>
      </c>
    </row>
    <row r="109" spans="2:5" x14ac:dyDescent="0.35">
      <c r="B109" s="22" t="s">
        <v>810</v>
      </c>
      <c r="C109" s="24" t="s">
        <v>812</v>
      </c>
      <c r="D109" s="24" t="s">
        <v>64</v>
      </c>
      <c r="E109" s="25" t="s">
        <v>790</v>
      </c>
    </row>
    <row r="110" spans="2:5" x14ac:dyDescent="0.35">
      <c r="B110" s="22" t="s">
        <v>819</v>
      </c>
      <c r="C110" s="24" t="s">
        <v>818</v>
      </c>
      <c r="D110" s="24" t="s">
        <v>323</v>
      </c>
      <c r="E110" s="25" t="s">
        <v>790</v>
      </c>
    </row>
    <row r="111" spans="2:5" x14ac:dyDescent="0.35">
      <c r="B111" s="22" t="s">
        <v>824</v>
      </c>
      <c r="C111" s="24" t="s">
        <v>823</v>
      </c>
      <c r="D111" s="24" t="s">
        <v>323</v>
      </c>
      <c r="E111" s="25" t="s">
        <v>790</v>
      </c>
    </row>
    <row r="112" spans="2:5" x14ac:dyDescent="0.35">
      <c r="B112" s="22" t="s">
        <v>828</v>
      </c>
      <c r="C112" s="24" t="s">
        <v>826</v>
      </c>
      <c r="D112" s="24" t="s">
        <v>323</v>
      </c>
      <c r="E112" s="25" t="s">
        <v>825</v>
      </c>
    </row>
    <row r="113" spans="2:5" x14ac:dyDescent="0.35">
      <c r="B113" s="22" t="s">
        <v>828</v>
      </c>
      <c r="C113" s="24" t="s">
        <v>827</v>
      </c>
      <c r="D113" s="24" t="s">
        <v>323</v>
      </c>
      <c r="E113" s="25" t="s">
        <v>825</v>
      </c>
    </row>
    <row r="114" spans="2:5" x14ac:dyDescent="0.35">
      <c r="B114" s="22" t="s">
        <v>832</v>
      </c>
      <c r="C114" s="64" t="s">
        <v>829</v>
      </c>
      <c r="D114" s="24" t="s">
        <v>323</v>
      </c>
      <c r="E114" s="25" t="s">
        <v>768</v>
      </c>
    </row>
    <row r="115" spans="2:5" ht="31" x14ac:dyDescent="0.35">
      <c r="B115" s="22" t="s">
        <v>832</v>
      </c>
      <c r="C115" s="64" t="s">
        <v>830</v>
      </c>
      <c r="D115" s="24" t="s">
        <v>323</v>
      </c>
      <c r="E115" s="25" t="s">
        <v>768</v>
      </c>
    </row>
    <row r="116" spans="2:5" x14ac:dyDescent="0.35">
      <c r="B116" s="22" t="s">
        <v>832</v>
      </c>
      <c r="C116" s="24" t="s">
        <v>831</v>
      </c>
      <c r="D116" s="24" t="s">
        <v>323</v>
      </c>
      <c r="E116" s="25" t="s">
        <v>768</v>
      </c>
    </row>
    <row r="117" spans="2:5" x14ac:dyDescent="0.35">
      <c r="B117" s="22" t="s">
        <v>833</v>
      </c>
      <c r="C117" s="24" t="s">
        <v>834</v>
      </c>
      <c r="D117" s="24" t="s">
        <v>835</v>
      </c>
      <c r="E117" s="25" t="s">
        <v>790</v>
      </c>
    </row>
    <row r="118" spans="2:5" x14ac:dyDescent="0.35">
      <c r="B118" s="22" t="s">
        <v>838</v>
      </c>
      <c r="C118" s="24" t="s">
        <v>836</v>
      </c>
      <c r="D118" s="24" t="s">
        <v>323</v>
      </c>
      <c r="E118" s="25" t="s">
        <v>768</v>
      </c>
    </row>
    <row r="119" spans="2:5" x14ac:dyDescent="0.35">
      <c r="B119" s="22" t="s">
        <v>838</v>
      </c>
      <c r="C119" s="24" t="s">
        <v>837</v>
      </c>
      <c r="D119" s="24" t="s">
        <v>323</v>
      </c>
      <c r="E119" s="25" t="s">
        <v>768</v>
      </c>
    </row>
    <row r="120" spans="2:5" x14ac:dyDescent="0.35">
      <c r="B120" s="22" t="s">
        <v>899</v>
      </c>
      <c r="C120" s="24" t="s">
        <v>897</v>
      </c>
      <c r="D120" s="24" t="s">
        <v>323</v>
      </c>
      <c r="E120" s="25" t="s">
        <v>896</v>
      </c>
    </row>
    <row r="121" spans="2:5" x14ac:dyDescent="0.35">
      <c r="B121" s="22" t="s">
        <v>900</v>
      </c>
      <c r="C121" s="24" t="s">
        <v>898</v>
      </c>
      <c r="D121" s="24" t="s">
        <v>323</v>
      </c>
      <c r="E121" s="25" t="s">
        <v>896</v>
      </c>
    </row>
    <row r="122" spans="2:5" x14ac:dyDescent="0.35">
      <c r="B122" s="22" t="s">
        <v>920</v>
      </c>
      <c r="C122" s="24" t="s">
        <v>919</v>
      </c>
      <c r="D122" s="24" t="s">
        <v>323</v>
      </c>
      <c r="E122" s="25" t="s">
        <v>768</v>
      </c>
    </row>
    <row r="123" spans="2:5" x14ac:dyDescent="0.35">
      <c r="B123" s="22" t="s">
        <v>920</v>
      </c>
      <c r="C123" s="24" t="s">
        <v>918</v>
      </c>
      <c r="D123" s="24" t="s">
        <v>323</v>
      </c>
      <c r="E123" s="25" t="s">
        <v>768</v>
      </c>
    </row>
    <row r="124" spans="2:5" x14ac:dyDescent="0.35">
      <c r="B124" s="22" t="s">
        <v>924</v>
      </c>
      <c r="C124" s="24" t="s">
        <v>923</v>
      </c>
      <c r="D124" s="24" t="s">
        <v>323</v>
      </c>
      <c r="E124" s="25" t="s">
        <v>768</v>
      </c>
    </row>
    <row r="125" spans="2:5" x14ac:dyDescent="0.35">
      <c r="B125" s="22" t="s">
        <v>1005</v>
      </c>
      <c r="C125" s="24" t="s">
        <v>995</v>
      </c>
      <c r="D125" s="24" t="s">
        <v>323</v>
      </c>
      <c r="E125" s="25" t="s">
        <v>790</v>
      </c>
    </row>
    <row r="126" spans="2:5" x14ac:dyDescent="0.35">
      <c r="B126" s="22" t="s">
        <v>1005</v>
      </c>
      <c r="C126" s="24" t="s">
        <v>996</v>
      </c>
      <c r="D126" s="24" t="s">
        <v>323</v>
      </c>
      <c r="E126" s="25" t="s">
        <v>790</v>
      </c>
    </row>
    <row r="127" spans="2:5" x14ac:dyDescent="0.35">
      <c r="B127" s="22" t="s">
        <v>1005</v>
      </c>
      <c r="C127" s="24" t="s">
        <v>997</v>
      </c>
      <c r="D127" s="24" t="s">
        <v>323</v>
      </c>
      <c r="E127" s="25" t="s">
        <v>790</v>
      </c>
    </row>
    <row r="128" spans="2:5" x14ac:dyDescent="0.35">
      <c r="B128" s="22" t="s">
        <v>1005</v>
      </c>
      <c r="C128" s="24" t="s">
        <v>998</v>
      </c>
      <c r="D128" s="24" t="s">
        <v>323</v>
      </c>
      <c r="E128" s="25" t="s">
        <v>790</v>
      </c>
    </row>
    <row r="129" spans="2:5" x14ac:dyDescent="0.35">
      <c r="B129" s="22" t="s">
        <v>1005</v>
      </c>
      <c r="C129" s="24" t="s">
        <v>999</v>
      </c>
      <c r="D129" s="24" t="s">
        <v>323</v>
      </c>
      <c r="E129" s="25" t="s">
        <v>790</v>
      </c>
    </row>
    <row r="130" spans="2:5" x14ac:dyDescent="0.35">
      <c r="B130" s="22" t="s">
        <v>1005</v>
      </c>
      <c r="C130" s="24" t="s">
        <v>1000</v>
      </c>
      <c r="D130" s="24" t="s">
        <v>323</v>
      </c>
      <c r="E130" s="25" t="s">
        <v>790</v>
      </c>
    </row>
    <row r="131" spans="2:5" x14ac:dyDescent="0.35">
      <c r="B131" s="22" t="s">
        <v>1005</v>
      </c>
      <c r="C131" s="24" t="s">
        <v>1001</v>
      </c>
      <c r="D131" s="24" t="s">
        <v>323</v>
      </c>
      <c r="E131" s="25" t="s">
        <v>790</v>
      </c>
    </row>
    <row r="132" spans="2:5" x14ac:dyDescent="0.35">
      <c r="B132" s="22" t="s">
        <v>1005</v>
      </c>
      <c r="C132" s="24" t="s">
        <v>1002</v>
      </c>
      <c r="D132" s="24" t="s">
        <v>323</v>
      </c>
      <c r="E132" s="25" t="s">
        <v>790</v>
      </c>
    </row>
    <row r="133" spans="2:5" x14ac:dyDescent="0.35">
      <c r="B133" s="22" t="s">
        <v>1005</v>
      </c>
      <c r="C133" s="24" t="s">
        <v>1003</v>
      </c>
      <c r="D133" s="24" t="s">
        <v>323</v>
      </c>
      <c r="E133" s="25" t="s">
        <v>790</v>
      </c>
    </row>
    <row r="134" spans="2:5" x14ac:dyDescent="0.35">
      <c r="B134" s="22" t="s">
        <v>1005</v>
      </c>
      <c r="C134" s="24" t="s">
        <v>1004</v>
      </c>
      <c r="D134" s="24" t="s">
        <v>323</v>
      </c>
      <c r="E134" s="25" t="s">
        <v>790</v>
      </c>
    </row>
    <row r="135" spans="2:5" x14ac:dyDescent="0.35">
      <c r="B135" s="22" t="s">
        <v>1006</v>
      </c>
      <c r="C135" s="24" t="s">
        <v>1022</v>
      </c>
      <c r="D135" s="24" t="s">
        <v>1007</v>
      </c>
      <c r="E135" s="25" t="s">
        <v>790</v>
      </c>
    </row>
    <row r="136" spans="2:5" x14ac:dyDescent="0.35">
      <c r="B136" s="22" t="s">
        <v>1009</v>
      </c>
      <c r="C136" s="24" t="s">
        <v>1010</v>
      </c>
      <c r="D136" s="24" t="s">
        <v>1007</v>
      </c>
      <c r="E136" s="25" t="s">
        <v>790</v>
      </c>
    </row>
    <row r="137" spans="2:5" x14ac:dyDescent="0.35">
      <c r="B137" s="22" t="s">
        <v>1009</v>
      </c>
      <c r="C137" s="24" t="s">
        <v>1011</v>
      </c>
      <c r="D137" s="24" t="s">
        <v>1007</v>
      </c>
      <c r="E137" s="25" t="s">
        <v>790</v>
      </c>
    </row>
    <row r="138" spans="2:5" x14ac:dyDescent="0.35">
      <c r="B138" s="22" t="s">
        <v>1009</v>
      </c>
      <c r="C138" s="24" t="s">
        <v>1012</v>
      </c>
      <c r="D138" s="24" t="s">
        <v>1007</v>
      </c>
      <c r="E138" s="25" t="s">
        <v>790</v>
      </c>
    </row>
    <row r="139" spans="2:5" x14ac:dyDescent="0.35">
      <c r="B139" s="22" t="s">
        <v>1009</v>
      </c>
      <c r="C139" s="24" t="s">
        <v>1013</v>
      </c>
      <c r="D139" s="24" t="s">
        <v>1007</v>
      </c>
      <c r="E139" s="25" t="s">
        <v>790</v>
      </c>
    </row>
    <row r="140" spans="2:5" x14ac:dyDescent="0.35">
      <c r="B140" s="22" t="s">
        <v>1009</v>
      </c>
      <c r="C140" s="24" t="s">
        <v>1014</v>
      </c>
      <c r="D140" s="24" t="s">
        <v>1007</v>
      </c>
      <c r="E140" s="25" t="s">
        <v>790</v>
      </c>
    </row>
    <row r="141" spans="2:5" x14ac:dyDescent="0.35">
      <c r="B141" s="22" t="s">
        <v>1009</v>
      </c>
      <c r="C141" s="24" t="s">
        <v>1015</v>
      </c>
      <c r="D141" s="24" t="s">
        <v>1007</v>
      </c>
      <c r="E141" s="25" t="s">
        <v>790</v>
      </c>
    </row>
    <row r="142" spans="2:5" x14ac:dyDescent="0.35">
      <c r="B142" s="22" t="s">
        <v>1009</v>
      </c>
      <c r="C142" s="24" t="s">
        <v>1016</v>
      </c>
      <c r="D142" s="24" t="s">
        <v>1007</v>
      </c>
      <c r="E142" s="25" t="s">
        <v>790</v>
      </c>
    </row>
    <row r="143" spans="2:5" ht="18" x14ac:dyDescent="0.35">
      <c r="B143" s="22" t="s">
        <v>1009</v>
      </c>
      <c r="C143" s="24" t="s">
        <v>1017</v>
      </c>
      <c r="D143" s="24" t="s">
        <v>1007</v>
      </c>
      <c r="E143" s="25" t="s">
        <v>790</v>
      </c>
    </row>
    <row r="144" spans="2:5" x14ac:dyDescent="0.35">
      <c r="B144" s="22" t="s">
        <v>1009</v>
      </c>
      <c r="C144" s="24" t="s">
        <v>1020</v>
      </c>
      <c r="D144" s="24" t="s">
        <v>1007</v>
      </c>
      <c r="E144" s="25" t="s">
        <v>790</v>
      </c>
    </row>
    <row r="145" spans="2:5" x14ac:dyDescent="0.35">
      <c r="B145" s="22" t="s">
        <v>1009</v>
      </c>
      <c r="C145" s="24" t="s">
        <v>1021</v>
      </c>
      <c r="D145" s="24" t="s">
        <v>1007</v>
      </c>
      <c r="E145" s="25" t="s">
        <v>790</v>
      </c>
    </row>
    <row r="146" spans="2:5" x14ac:dyDescent="0.35">
      <c r="B146" s="22" t="s">
        <v>1009</v>
      </c>
      <c r="C146" s="24" t="s">
        <v>1018</v>
      </c>
      <c r="D146" s="24" t="s">
        <v>1007</v>
      </c>
      <c r="E146" s="25" t="s">
        <v>790</v>
      </c>
    </row>
    <row r="147" spans="2:5" x14ac:dyDescent="0.35">
      <c r="B147" s="22" t="s">
        <v>1009</v>
      </c>
      <c r="C147" s="24" t="s">
        <v>1019</v>
      </c>
      <c r="D147" s="24" t="s">
        <v>1007</v>
      </c>
      <c r="E147" s="25" t="s">
        <v>790</v>
      </c>
    </row>
    <row r="148" spans="2:5" ht="31" x14ac:dyDescent="0.35">
      <c r="B148" s="22" t="s">
        <v>1027</v>
      </c>
      <c r="C148" s="64" t="s">
        <v>1023</v>
      </c>
      <c r="D148" s="24" t="s">
        <v>323</v>
      </c>
      <c r="E148" s="25" t="s">
        <v>1025</v>
      </c>
    </row>
    <row r="149" spans="2:5" x14ac:dyDescent="0.35">
      <c r="B149" s="22" t="s">
        <v>1027</v>
      </c>
      <c r="C149" s="24" t="s">
        <v>1024</v>
      </c>
      <c r="D149" s="24" t="s">
        <v>323</v>
      </c>
      <c r="E149" s="25" t="s">
        <v>1025</v>
      </c>
    </row>
    <row r="150" spans="2:5" x14ac:dyDescent="0.35">
      <c r="B150" s="22" t="s">
        <v>1027</v>
      </c>
      <c r="C150" s="24" t="s">
        <v>1026</v>
      </c>
      <c r="D150" s="24" t="s">
        <v>323</v>
      </c>
      <c r="E150" s="25" t="s">
        <v>1025</v>
      </c>
    </row>
    <row r="151" spans="2:5" x14ac:dyDescent="0.35">
      <c r="B151" s="22" t="s">
        <v>1030</v>
      </c>
      <c r="C151" s="24" t="s">
        <v>1029</v>
      </c>
      <c r="D151" s="24" t="s">
        <v>323</v>
      </c>
      <c r="E151" s="25" t="s">
        <v>1028</v>
      </c>
    </row>
    <row r="152" spans="2:5" x14ac:dyDescent="0.35">
      <c r="B152" s="22" t="s">
        <v>1032</v>
      </c>
      <c r="C152" s="24" t="s">
        <v>1031</v>
      </c>
      <c r="D152" s="24" t="s">
        <v>323</v>
      </c>
      <c r="E152" s="25" t="s">
        <v>1028</v>
      </c>
    </row>
    <row r="153" spans="2:5" x14ac:dyDescent="0.35">
      <c r="B153" s="22" t="s">
        <v>1035</v>
      </c>
      <c r="C153" s="24" t="s">
        <v>1036</v>
      </c>
      <c r="D153" s="24" t="s">
        <v>1007</v>
      </c>
      <c r="E153" s="25" t="s">
        <v>1038</v>
      </c>
    </row>
    <row r="154" spans="2:5" x14ac:dyDescent="0.35">
      <c r="B154" s="22" t="s">
        <v>1035</v>
      </c>
      <c r="C154" s="24" t="s">
        <v>1037</v>
      </c>
      <c r="D154" s="24" t="s">
        <v>1007</v>
      </c>
      <c r="E154" s="25" t="s">
        <v>1038</v>
      </c>
    </row>
    <row r="155" spans="2:5" x14ac:dyDescent="0.35">
      <c r="B155" s="22" t="s">
        <v>1043</v>
      </c>
      <c r="C155" s="24" t="s">
        <v>1044</v>
      </c>
      <c r="D155" s="24" t="s">
        <v>1007</v>
      </c>
      <c r="E155" s="25" t="s">
        <v>1049</v>
      </c>
    </row>
    <row r="156" spans="2:5" x14ac:dyDescent="0.35">
      <c r="B156" s="22" t="s">
        <v>1043</v>
      </c>
      <c r="C156" s="24" t="s">
        <v>1045</v>
      </c>
      <c r="D156" s="24" t="s">
        <v>1007</v>
      </c>
      <c r="E156" s="25" t="s">
        <v>1049</v>
      </c>
    </row>
    <row r="157" spans="2:5" x14ac:dyDescent="0.35">
      <c r="B157" s="22" t="s">
        <v>1043</v>
      </c>
      <c r="C157" s="24" t="s">
        <v>1047</v>
      </c>
      <c r="D157" s="24" t="s">
        <v>1007</v>
      </c>
      <c r="E157" s="25" t="s">
        <v>1049</v>
      </c>
    </row>
    <row r="158" spans="2:5" x14ac:dyDescent="0.35">
      <c r="B158" s="22" t="s">
        <v>1043</v>
      </c>
      <c r="C158" s="24" t="s">
        <v>1048</v>
      </c>
      <c r="D158" s="24" t="s">
        <v>1007</v>
      </c>
      <c r="E158" s="25" t="s">
        <v>1049</v>
      </c>
    </row>
    <row r="159" spans="2:5" x14ac:dyDescent="0.35">
      <c r="B159" s="22" t="s">
        <v>1050</v>
      </c>
      <c r="C159" s="24" t="s">
        <v>1055</v>
      </c>
      <c r="D159" s="24" t="s">
        <v>1007</v>
      </c>
      <c r="E159" s="25" t="s">
        <v>1049</v>
      </c>
    </row>
    <row r="160" spans="2:5" x14ac:dyDescent="0.35">
      <c r="B160" s="22" t="s">
        <v>1052</v>
      </c>
      <c r="C160" s="24" t="s">
        <v>1053</v>
      </c>
      <c r="D160" s="24" t="s">
        <v>1007</v>
      </c>
      <c r="E160" s="25" t="s">
        <v>1049</v>
      </c>
    </row>
    <row r="161" spans="2:5" x14ac:dyDescent="0.35">
      <c r="B161" s="22" t="s">
        <v>1052</v>
      </c>
      <c r="C161" s="24" t="s">
        <v>1054</v>
      </c>
      <c r="D161" s="24" t="s">
        <v>1007</v>
      </c>
      <c r="E161" s="25" t="s">
        <v>1049</v>
      </c>
    </row>
    <row r="162" spans="2:5" x14ac:dyDescent="0.35">
      <c r="B162" s="22" t="s">
        <v>1052</v>
      </c>
      <c r="C162" s="24" t="s">
        <v>1176</v>
      </c>
      <c r="D162" s="24" t="s">
        <v>1007</v>
      </c>
      <c r="E162" s="25" t="s">
        <v>1049</v>
      </c>
    </row>
    <row r="163" spans="2:5" x14ac:dyDescent="0.35">
      <c r="B163" s="22" t="s">
        <v>1052</v>
      </c>
      <c r="C163" s="24" t="s">
        <v>1051</v>
      </c>
      <c r="D163" s="24" t="s">
        <v>1007</v>
      </c>
      <c r="E163" s="25" t="s">
        <v>790</v>
      </c>
    </row>
    <row r="164" spans="2:5" x14ac:dyDescent="0.35">
      <c r="B164" s="22" t="s">
        <v>1039</v>
      </c>
      <c r="C164" s="24" t="s">
        <v>1177</v>
      </c>
      <c r="D164" s="24" t="s">
        <v>1007</v>
      </c>
      <c r="E164" s="25" t="s">
        <v>790</v>
      </c>
    </row>
    <row r="165" spans="2:5" x14ac:dyDescent="0.35">
      <c r="B165" s="22" t="s">
        <v>1181</v>
      </c>
      <c r="C165" s="24" t="s">
        <v>1178</v>
      </c>
      <c r="D165" s="24" t="s">
        <v>323</v>
      </c>
      <c r="E165" s="25" t="s">
        <v>1180</v>
      </c>
    </row>
    <row r="166" spans="2:5" x14ac:dyDescent="0.35">
      <c r="B166" s="22" t="s">
        <v>1181</v>
      </c>
      <c r="C166" s="24" t="s">
        <v>1179</v>
      </c>
      <c r="D166" s="24" t="s">
        <v>323</v>
      </c>
      <c r="E166" s="25" t="s">
        <v>1180</v>
      </c>
    </row>
    <row r="167" spans="2:5" x14ac:dyDescent="0.35">
      <c r="B167" s="22" t="s">
        <v>1182</v>
      </c>
      <c r="C167" s="24" t="s">
        <v>1183</v>
      </c>
      <c r="D167" s="24" t="s">
        <v>1007</v>
      </c>
      <c r="E167" s="25" t="s">
        <v>896</v>
      </c>
    </row>
    <row r="168" spans="2:5" x14ac:dyDescent="0.35">
      <c r="B168" s="22" t="s">
        <v>1185</v>
      </c>
      <c r="C168" s="24" t="s">
        <v>1184</v>
      </c>
      <c r="D168" s="24" t="s">
        <v>1007</v>
      </c>
      <c r="E168" s="25" t="s">
        <v>896</v>
      </c>
    </row>
    <row r="169" spans="2:5" x14ac:dyDescent="0.35">
      <c r="B169" s="22" t="s">
        <v>1188</v>
      </c>
      <c r="C169" s="64" t="s">
        <v>1187</v>
      </c>
      <c r="D169" s="24" t="s">
        <v>323</v>
      </c>
      <c r="E169" s="25" t="s">
        <v>1186</v>
      </c>
    </row>
    <row r="170" spans="2:5" x14ac:dyDescent="0.35">
      <c r="B170" s="22" t="s">
        <v>1043</v>
      </c>
      <c r="C170" s="24" t="s">
        <v>1045</v>
      </c>
      <c r="D170" s="24" t="s">
        <v>1007</v>
      </c>
      <c r="E170" s="25" t="s">
        <v>1049</v>
      </c>
    </row>
    <row r="171" spans="2:5" x14ac:dyDescent="0.35">
      <c r="B171" s="22" t="s">
        <v>1043</v>
      </c>
      <c r="C171" s="24" t="s">
        <v>1047</v>
      </c>
      <c r="D171" s="24" t="s">
        <v>1007</v>
      </c>
      <c r="E171" s="25" t="s">
        <v>1049</v>
      </c>
    </row>
    <row r="172" spans="2:5" x14ac:dyDescent="0.35">
      <c r="B172" s="22" t="s">
        <v>1043</v>
      </c>
      <c r="C172" s="24" t="s">
        <v>1048</v>
      </c>
      <c r="D172" s="24" t="s">
        <v>1007</v>
      </c>
      <c r="E172" s="25" t="s">
        <v>1049</v>
      </c>
    </row>
    <row r="173" spans="2:5" x14ac:dyDescent="0.35">
      <c r="B173" s="22" t="s">
        <v>1050</v>
      </c>
      <c r="C173" s="24" t="s">
        <v>1055</v>
      </c>
      <c r="D173" s="24" t="s">
        <v>1007</v>
      </c>
      <c r="E173" s="25" t="s">
        <v>1049</v>
      </c>
    </row>
    <row r="174" spans="2:5" x14ac:dyDescent="0.35">
      <c r="B174" s="22" t="s">
        <v>1052</v>
      </c>
      <c r="C174" s="24" t="s">
        <v>1053</v>
      </c>
      <c r="D174" s="24" t="s">
        <v>1007</v>
      </c>
      <c r="E174" s="25" t="s">
        <v>1049</v>
      </c>
    </row>
    <row r="175" spans="2:5" x14ac:dyDescent="0.35">
      <c r="B175" s="22" t="s">
        <v>1052</v>
      </c>
      <c r="C175" s="24" t="s">
        <v>1054</v>
      </c>
      <c r="D175" s="24" t="s">
        <v>1007</v>
      </c>
      <c r="E175" s="25" t="s">
        <v>1049</v>
      </c>
    </row>
    <row r="176" spans="2:5" x14ac:dyDescent="0.35">
      <c r="B176" s="22" t="s">
        <v>1052</v>
      </c>
      <c r="C176" s="24" t="s">
        <v>1176</v>
      </c>
      <c r="D176" s="24" t="s">
        <v>1007</v>
      </c>
      <c r="E176" s="25" t="s">
        <v>1049</v>
      </c>
    </row>
    <row r="177" spans="2:5" x14ac:dyDescent="0.35">
      <c r="B177" s="22" t="s">
        <v>1052</v>
      </c>
      <c r="C177" s="24" t="s">
        <v>1051</v>
      </c>
      <c r="D177" s="24" t="s">
        <v>1007</v>
      </c>
      <c r="E177" s="25" t="s">
        <v>790</v>
      </c>
    </row>
    <row r="178" spans="2:5" x14ac:dyDescent="0.35">
      <c r="B178" s="22" t="s">
        <v>1039</v>
      </c>
      <c r="C178" s="24" t="s">
        <v>1177</v>
      </c>
      <c r="D178" s="24" t="s">
        <v>1007</v>
      </c>
      <c r="E178" s="25" t="s">
        <v>790</v>
      </c>
    </row>
    <row r="179" spans="2:5" x14ac:dyDescent="0.35">
      <c r="B179" s="22" t="s">
        <v>1181</v>
      </c>
      <c r="C179" s="24" t="s">
        <v>1178</v>
      </c>
      <c r="D179" s="24" t="s">
        <v>323</v>
      </c>
      <c r="E179" s="25" t="s">
        <v>1180</v>
      </c>
    </row>
    <row r="180" spans="2:5" x14ac:dyDescent="0.35">
      <c r="B180" s="22" t="s">
        <v>1181</v>
      </c>
      <c r="C180" s="24" t="s">
        <v>1179</v>
      </c>
      <c r="D180" s="24" t="s">
        <v>323</v>
      </c>
      <c r="E180" s="25" t="s">
        <v>1180</v>
      </c>
    </row>
    <row r="181" spans="2:5" x14ac:dyDescent="0.35">
      <c r="B181" s="22" t="s">
        <v>1182</v>
      </c>
      <c r="C181" s="24" t="s">
        <v>1183</v>
      </c>
      <c r="D181" s="24" t="s">
        <v>1007</v>
      </c>
      <c r="E181" s="25" t="s">
        <v>896</v>
      </c>
    </row>
    <row r="182" spans="2:5" x14ac:dyDescent="0.35">
      <c r="B182" s="22" t="s">
        <v>1185</v>
      </c>
      <c r="C182" s="24" t="s">
        <v>1184</v>
      </c>
      <c r="D182" s="24" t="s">
        <v>1007</v>
      </c>
      <c r="E182" s="25" t="s">
        <v>896</v>
      </c>
    </row>
    <row r="183" spans="2:5" x14ac:dyDescent="0.35">
      <c r="B183" s="22" t="s">
        <v>1191</v>
      </c>
      <c r="C183" s="64" t="s">
        <v>1187</v>
      </c>
      <c r="D183" s="24" t="s">
        <v>323</v>
      </c>
      <c r="E183" s="25" t="s">
        <v>1186</v>
      </c>
    </row>
    <row r="184" spans="2:5" x14ac:dyDescent="0.35">
      <c r="B184" s="22" t="s">
        <v>1192</v>
      </c>
      <c r="C184" s="24" t="s">
        <v>1193</v>
      </c>
      <c r="D184" s="24" t="s">
        <v>1194</v>
      </c>
      <c r="E184" s="25" t="s">
        <v>1195</v>
      </c>
    </row>
    <row r="185" spans="2:5" x14ac:dyDescent="0.35">
      <c r="B185" s="22" t="s">
        <v>1192</v>
      </c>
      <c r="C185" s="24" t="s">
        <v>1189</v>
      </c>
      <c r="D185" s="24" t="s">
        <v>1190</v>
      </c>
      <c r="E185" s="25" t="s">
        <v>1028</v>
      </c>
    </row>
    <row r="186" spans="2:5" x14ac:dyDescent="0.35">
      <c r="B186" s="22" t="s">
        <v>1192</v>
      </c>
      <c r="C186" s="24" t="s">
        <v>1197</v>
      </c>
      <c r="D186" s="24" t="s">
        <v>1190</v>
      </c>
      <c r="E186" s="25" t="s">
        <v>1028</v>
      </c>
    </row>
    <row r="187" spans="2:5" x14ac:dyDescent="0.35">
      <c r="B187" s="22" t="s">
        <v>1205</v>
      </c>
      <c r="C187" s="24" t="s">
        <v>1203</v>
      </c>
      <c r="D187" s="24" t="s">
        <v>323</v>
      </c>
      <c r="E187" s="25" t="s">
        <v>1186</v>
      </c>
    </row>
    <row r="188" spans="2:5" x14ac:dyDescent="0.35">
      <c r="B188" s="22" t="s">
        <v>1205</v>
      </c>
      <c r="C188" s="24" t="s">
        <v>1204</v>
      </c>
      <c r="D188" s="24" t="s">
        <v>323</v>
      </c>
      <c r="E188" s="25" t="s">
        <v>1186</v>
      </c>
    </row>
    <row r="189" spans="2:5" x14ac:dyDescent="0.35">
      <c r="B189" s="22" t="s">
        <v>1208</v>
      </c>
      <c r="C189" s="24" t="s">
        <v>1209</v>
      </c>
      <c r="D189" s="24" t="s">
        <v>1210</v>
      </c>
      <c r="E189" s="25" t="s">
        <v>1211</v>
      </c>
    </row>
    <row r="190" spans="2:5" x14ac:dyDescent="0.35">
      <c r="B190" s="22" t="s">
        <v>1208</v>
      </c>
      <c r="C190" s="24" t="s">
        <v>1212</v>
      </c>
      <c r="D190" s="24" t="s">
        <v>1210</v>
      </c>
      <c r="E190" s="25" t="s">
        <v>1211</v>
      </c>
    </row>
    <row r="191" spans="2:5" x14ac:dyDescent="0.35">
      <c r="B191" s="22" t="s">
        <v>1217</v>
      </c>
      <c r="C191" s="24" t="s">
        <v>1214</v>
      </c>
      <c r="D191" s="24" t="s">
        <v>323</v>
      </c>
      <c r="E191" s="25" t="s">
        <v>1218</v>
      </c>
    </row>
    <row r="192" spans="2:5" x14ac:dyDescent="0.35">
      <c r="B192" s="22" t="s">
        <v>1217</v>
      </c>
      <c r="C192" s="24" t="s">
        <v>1215</v>
      </c>
      <c r="D192" s="24" t="s">
        <v>323</v>
      </c>
      <c r="E192" s="25" t="s">
        <v>1218</v>
      </c>
    </row>
    <row r="193" spans="2:5" x14ac:dyDescent="0.35">
      <c r="B193" s="22" t="s">
        <v>1217</v>
      </c>
      <c r="C193" s="24" t="s">
        <v>1216</v>
      </c>
      <c r="D193" s="24" t="s">
        <v>323</v>
      </c>
      <c r="E193" s="25" t="s">
        <v>1218</v>
      </c>
    </row>
    <row r="194" spans="2:5" x14ac:dyDescent="0.35">
      <c r="B194" s="22" t="s">
        <v>1219</v>
      </c>
      <c r="C194" s="24" t="s">
        <v>1221</v>
      </c>
      <c r="D194" s="24" t="s">
        <v>1210</v>
      </c>
      <c r="E194" s="25" t="s">
        <v>1222</v>
      </c>
    </row>
    <row r="195" spans="2:5" x14ac:dyDescent="0.35">
      <c r="B195" s="22" t="s">
        <v>1219</v>
      </c>
      <c r="C195" s="24" t="s">
        <v>1223</v>
      </c>
      <c r="D195" s="24" t="s">
        <v>1210</v>
      </c>
      <c r="E195" s="25" t="s">
        <v>1222</v>
      </c>
    </row>
    <row r="197" spans="2:5" x14ac:dyDescent="0.35">
      <c r="B197" s="22" t="s">
        <v>1227</v>
      </c>
      <c r="C197" s="24" t="s">
        <v>1228</v>
      </c>
      <c r="D197" s="24" t="s">
        <v>1210</v>
      </c>
      <c r="E197" s="25" t="s">
        <v>1229</v>
      </c>
    </row>
    <row r="198" spans="2:5" x14ac:dyDescent="0.35">
      <c r="B198" s="22" t="s">
        <v>1236</v>
      </c>
      <c r="C198" s="24" t="s">
        <v>1233</v>
      </c>
      <c r="D198" s="24" t="s">
        <v>323</v>
      </c>
      <c r="E198" s="25" t="s">
        <v>1180</v>
      </c>
    </row>
    <row r="199" spans="2:5" x14ac:dyDescent="0.35">
      <c r="B199" s="22" t="s">
        <v>1236</v>
      </c>
      <c r="C199" s="24" t="s">
        <v>1234</v>
      </c>
      <c r="D199" s="24" t="s">
        <v>323</v>
      </c>
      <c r="E199" s="25" t="s">
        <v>1180</v>
      </c>
    </row>
    <row r="200" spans="2:5" x14ac:dyDescent="0.35">
      <c r="B200" s="22" t="s">
        <v>1236</v>
      </c>
      <c r="C200" s="24" t="s">
        <v>1235</v>
      </c>
      <c r="D200" s="24" t="s">
        <v>323</v>
      </c>
      <c r="E200" s="25" t="s">
        <v>1180</v>
      </c>
    </row>
    <row r="201" spans="2:5" x14ac:dyDescent="0.35">
      <c r="B201" s="22" t="s">
        <v>1241</v>
      </c>
      <c r="C201" s="24" t="s">
        <v>1240</v>
      </c>
      <c r="D201" s="24" t="s">
        <v>323</v>
      </c>
      <c r="E201" s="25" t="s">
        <v>1242</v>
      </c>
    </row>
    <row r="202" spans="2:5" x14ac:dyDescent="0.35">
      <c r="B202" s="22" t="s">
        <v>1256</v>
      </c>
      <c r="C202" s="24" t="s">
        <v>1255</v>
      </c>
      <c r="D202" s="24" t="s">
        <v>323</v>
      </c>
      <c r="E202" s="25" t="s">
        <v>1257</v>
      </c>
    </row>
    <row r="203" spans="2:5" x14ac:dyDescent="0.35">
      <c r="B203" s="22" t="s">
        <v>1259</v>
      </c>
      <c r="C203" s="24" t="s">
        <v>1260</v>
      </c>
      <c r="D203" s="24" t="s">
        <v>1210</v>
      </c>
      <c r="E203" s="25" t="s">
        <v>1258</v>
      </c>
    </row>
    <row r="204" spans="2:5" x14ac:dyDescent="0.35">
      <c r="B204" s="22" t="s">
        <v>1259</v>
      </c>
      <c r="C204" s="24" t="s">
        <v>1261</v>
      </c>
      <c r="D204" s="24" t="s">
        <v>1210</v>
      </c>
      <c r="E204" s="25" t="s">
        <v>1258</v>
      </c>
    </row>
    <row r="205" spans="2:5" x14ac:dyDescent="0.35">
      <c r="B205" s="22" t="s">
        <v>1259</v>
      </c>
      <c r="C205" s="24" t="s">
        <v>1262</v>
      </c>
      <c r="D205" s="24" t="s">
        <v>1210</v>
      </c>
      <c r="E205" s="25" t="s">
        <v>1258</v>
      </c>
    </row>
    <row r="206" spans="2:5" x14ac:dyDescent="0.35">
      <c r="B206" s="22" t="s">
        <v>1259</v>
      </c>
      <c r="C206" s="24" t="s">
        <v>1263</v>
      </c>
      <c r="D206" s="24" t="s">
        <v>1210</v>
      </c>
      <c r="E206" s="25" t="s">
        <v>1258</v>
      </c>
    </row>
    <row r="207" spans="2:5" x14ac:dyDescent="0.35">
      <c r="B207" s="22" t="s">
        <v>1271</v>
      </c>
      <c r="C207" s="24" t="s">
        <v>1265</v>
      </c>
      <c r="D207" s="24" t="s">
        <v>1272</v>
      </c>
      <c r="E207" s="25" t="s">
        <v>1270</v>
      </c>
    </row>
    <row r="208" spans="2:5" x14ac:dyDescent="0.35">
      <c r="B208" s="22" t="s">
        <v>1271</v>
      </c>
      <c r="C208" s="24" t="s">
        <v>1266</v>
      </c>
      <c r="D208" s="24" t="s">
        <v>1272</v>
      </c>
      <c r="E208" s="25" t="s">
        <v>1270</v>
      </c>
    </row>
    <row r="209" spans="2:5" x14ac:dyDescent="0.35">
      <c r="B209" s="22" t="s">
        <v>1271</v>
      </c>
      <c r="C209" s="24" t="s">
        <v>1267</v>
      </c>
      <c r="D209" s="24" t="s">
        <v>1272</v>
      </c>
      <c r="E209" s="25" t="s">
        <v>1270</v>
      </c>
    </row>
    <row r="210" spans="2:5" x14ac:dyDescent="0.35">
      <c r="B210" s="22" t="s">
        <v>1271</v>
      </c>
      <c r="C210" s="24" t="s">
        <v>1268</v>
      </c>
      <c r="D210" s="24" t="s">
        <v>1272</v>
      </c>
      <c r="E210" s="25" t="s">
        <v>1270</v>
      </c>
    </row>
    <row r="211" spans="2:5" x14ac:dyDescent="0.35">
      <c r="B211" s="22" t="s">
        <v>1271</v>
      </c>
      <c r="C211" s="24" t="s">
        <v>1269</v>
      </c>
      <c r="D211" s="24" t="s">
        <v>1272</v>
      </c>
      <c r="E211" s="25" t="s">
        <v>1270</v>
      </c>
    </row>
    <row r="212" spans="2:5" x14ac:dyDescent="0.35">
      <c r="B212" s="22" t="s">
        <v>1273</v>
      </c>
      <c r="C212" s="24" t="s">
        <v>1274</v>
      </c>
      <c r="D212" s="24" t="s">
        <v>1272</v>
      </c>
      <c r="E212" s="25" t="s">
        <v>896</v>
      </c>
    </row>
    <row r="213" spans="2:5" x14ac:dyDescent="0.35">
      <c r="B213" s="22" t="s">
        <v>1293</v>
      </c>
      <c r="C213" s="24" t="s">
        <v>1296</v>
      </c>
      <c r="D213" s="24" t="s">
        <v>1294</v>
      </c>
      <c r="E213" s="25" t="s">
        <v>1295</v>
      </c>
    </row>
    <row r="214" spans="2:5" x14ac:dyDescent="0.35">
      <c r="B214" s="22" t="s">
        <v>1293</v>
      </c>
      <c r="C214" s="24" t="s">
        <v>1297</v>
      </c>
      <c r="D214" s="24" t="s">
        <v>1294</v>
      </c>
      <c r="E214" s="25" t="s">
        <v>1295</v>
      </c>
    </row>
    <row r="215" spans="2:5" x14ac:dyDescent="0.35">
      <c r="B215" s="22" t="s">
        <v>1293</v>
      </c>
      <c r="C215" s="24" t="s">
        <v>1298</v>
      </c>
      <c r="D215" s="24" t="s">
        <v>1294</v>
      </c>
      <c r="E215" s="25" t="s">
        <v>1295</v>
      </c>
    </row>
    <row r="216" spans="2:5" x14ac:dyDescent="0.35">
      <c r="B216" s="22" t="s">
        <v>1293</v>
      </c>
      <c r="C216" s="24" t="s">
        <v>1299</v>
      </c>
      <c r="D216" s="24" t="s">
        <v>1294</v>
      </c>
      <c r="E216" s="25" t="s">
        <v>1295</v>
      </c>
    </row>
    <row r="217" spans="2:5" x14ac:dyDescent="0.35">
      <c r="B217" s="22" t="s">
        <v>1293</v>
      </c>
      <c r="C217" s="24" t="s">
        <v>1300</v>
      </c>
      <c r="D217" s="24" t="s">
        <v>1294</v>
      </c>
      <c r="E217" s="25" t="s">
        <v>1295</v>
      </c>
    </row>
    <row r="218" spans="2:5" x14ac:dyDescent="0.35">
      <c r="B218" s="22" t="s">
        <v>1293</v>
      </c>
      <c r="C218" s="24" t="s">
        <v>1301</v>
      </c>
      <c r="D218" s="24" t="s">
        <v>1294</v>
      </c>
      <c r="E218" s="25" t="s">
        <v>1295</v>
      </c>
    </row>
    <row r="219" spans="2:5" x14ac:dyDescent="0.35">
      <c r="B219" s="22" t="s">
        <v>1293</v>
      </c>
      <c r="C219" s="24" t="s">
        <v>1302</v>
      </c>
      <c r="D219" s="24" t="s">
        <v>1294</v>
      </c>
      <c r="E219" s="25" t="s">
        <v>1295</v>
      </c>
    </row>
    <row r="220" spans="2:5" x14ac:dyDescent="0.35">
      <c r="B220" s="22" t="s">
        <v>1293</v>
      </c>
      <c r="C220" s="24" t="s">
        <v>1303</v>
      </c>
      <c r="D220" s="24" t="s">
        <v>1294</v>
      </c>
      <c r="E220" s="25" t="s">
        <v>1295</v>
      </c>
    </row>
    <row r="221" spans="2:5" x14ac:dyDescent="0.35">
      <c r="B221" s="22" t="s">
        <v>1293</v>
      </c>
      <c r="C221" s="24" t="s">
        <v>1304</v>
      </c>
      <c r="D221" s="24" t="s">
        <v>1294</v>
      </c>
      <c r="E221" s="25" t="s">
        <v>1295</v>
      </c>
    </row>
    <row r="222" spans="2:5" x14ac:dyDescent="0.35">
      <c r="B222" s="22" t="s">
        <v>1293</v>
      </c>
      <c r="C222" s="24" t="s">
        <v>1305</v>
      </c>
      <c r="D222" s="24" t="s">
        <v>1294</v>
      </c>
      <c r="E222" s="25" t="s">
        <v>1295</v>
      </c>
    </row>
    <row r="223" spans="2:5" x14ac:dyDescent="0.35">
      <c r="B223" s="22" t="s">
        <v>1293</v>
      </c>
      <c r="C223" s="24" t="s">
        <v>1347</v>
      </c>
      <c r="D223" s="24" t="s">
        <v>1294</v>
      </c>
      <c r="E223" s="25" t="s">
        <v>1295</v>
      </c>
    </row>
    <row r="224" spans="2:5" x14ac:dyDescent="0.35">
      <c r="B224" s="22" t="s">
        <v>1348</v>
      </c>
      <c r="C224" s="24" t="s">
        <v>1349</v>
      </c>
      <c r="D224" s="24" t="s">
        <v>1294</v>
      </c>
      <c r="E224" s="25" t="s">
        <v>1360</v>
      </c>
    </row>
    <row r="225" spans="2:5" x14ac:dyDescent="0.35">
      <c r="B225" s="22" t="s">
        <v>1348</v>
      </c>
      <c r="C225" s="24" t="s">
        <v>1350</v>
      </c>
      <c r="D225" s="24" t="s">
        <v>1294</v>
      </c>
      <c r="E225" s="25" t="s">
        <v>1360</v>
      </c>
    </row>
    <row r="226" spans="2:5" x14ac:dyDescent="0.35">
      <c r="B226" s="22" t="s">
        <v>1348</v>
      </c>
      <c r="C226" s="24" t="s">
        <v>1351</v>
      </c>
      <c r="D226" s="24" t="s">
        <v>1294</v>
      </c>
      <c r="E226" s="25" t="s">
        <v>1360</v>
      </c>
    </row>
    <row r="227" spans="2:5" x14ac:dyDescent="0.35">
      <c r="B227" s="22" t="s">
        <v>1348</v>
      </c>
      <c r="C227" s="24" t="s">
        <v>1352</v>
      </c>
      <c r="D227" s="24" t="s">
        <v>1294</v>
      </c>
      <c r="E227" s="25" t="s">
        <v>1360</v>
      </c>
    </row>
    <row r="228" spans="2:5" x14ac:dyDescent="0.35">
      <c r="B228" s="22" t="s">
        <v>1348</v>
      </c>
      <c r="C228" s="24" t="s">
        <v>1354</v>
      </c>
      <c r="D228" s="24" t="s">
        <v>1294</v>
      </c>
      <c r="E228" s="25" t="s">
        <v>1361</v>
      </c>
    </row>
    <row r="229" spans="2:5" x14ac:dyDescent="0.35">
      <c r="B229" s="22" t="s">
        <v>1348</v>
      </c>
      <c r="C229" s="24" t="s">
        <v>1353</v>
      </c>
      <c r="D229" s="24" t="s">
        <v>1294</v>
      </c>
      <c r="E229" s="25" t="s">
        <v>1361</v>
      </c>
    </row>
    <row r="230" spans="2:5" x14ac:dyDescent="0.35">
      <c r="B230" s="22" t="s">
        <v>1348</v>
      </c>
      <c r="C230" s="24" t="s">
        <v>1355</v>
      </c>
      <c r="D230" s="24" t="s">
        <v>1294</v>
      </c>
      <c r="E230" s="25" t="s">
        <v>1361</v>
      </c>
    </row>
    <row r="231" spans="2:5" x14ac:dyDescent="0.35">
      <c r="B231" s="22" t="s">
        <v>1359</v>
      </c>
      <c r="C231" s="24" t="s">
        <v>1357</v>
      </c>
      <c r="D231" s="24" t="s">
        <v>1294</v>
      </c>
      <c r="E231" s="25" t="s">
        <v>1362</v>
      </c>
    </row>
    <row r="232" spans="2:5" x14ac:dyDescent="0.35">
      <c r="B232" s="22" t="s">
        <v>1359</v>
      </c>
      <c r="C232" s="24" t="s">
        <v>1358</v>
      </c>
      <c r="D232" s="24" t="s">
        <v>1294</v>
      </c>
      <c r="E232" s="25" t="s">
        <v>1362</v>
      </c>
    </row>
    <row r="233" spans="2:5" x14ac:dyDescent="0.35">
      <c r="B233" s="22" t="s">
        <v>1359</v>
      </c>
      <c r="C233" s="24" t="s">
        <v>1365</v>
      </c>
      <c r="D233" s="24" t="s">
        <v>1294</v>
      </c>
      <c r="E233" s="25" t="s">
        <v>1362</v>
      </c>
    </row>
    <row r="234" spans="2:5" x14ac:dyDescent="0.35">
      <c r="B234" s="22" t="s">
        <v>1359</v>
      </c>
      <c r="C234" s="24" t="s">
        <v>1366</v>
      </c>
      <c r="D234" s="24" t="s">
        <v>1294</v>
      </c>
      <c r="E234" s="25" t="s">
        <v>1362</v>
      </c>
    </row>
    <row r="235" spans="2:5" x14ac:dyDescent="0.35">
      <c r="B235" s="22" t="s">
        <v>1359</v>
      </c>
      <c r="C235" s="24" t="s">
        <v>1562</v>
      </c>
      <c r="D235" s="24" t="s">
        <v>1294</v>
      </c>
      <c r="E235" s="25" t="s">
        <v>1362</v>
      </c>
    </row>
    <row r="236" spans="2:5" x14ac:dyDescent="0.35">
      <c r="B236" s="22" t="s">
        <v>1359</v>
      </c>
      <c r="C236" s="24" t="s">
        <v>1368</v>
      </c>
      <c r="D236" s="24" t="s">
        <v>1294</v>
      </c>
      <c r="E236" s="25" t="s">
        <v>1362</v>
      </c>
    </row>
    <row r="237" spans="2:5" x14ac:dyDescent="0.35">
      <c r="B237" s="22" t="s">
        <v>1359</v>
      </c>
      <c r="C237" s="24" t="s">
        <v>1377</v>
      </c>
      <c r="D237" s="24" t="s">
        <v>1294</v>
      </c>
      <c r="E237" s="25" t="s">
        <v>1378</v>
      </c>
    </row>
    <row r="238" spans="2:5" x14ac:dyDescent="0.35">
      <c r="B238" s="22" t="s">
        <v>1359</v>
      </c>
      <c r="C238" s="24" t="s">
        <v>1380</v>
      </c>
      <c r="D238" s="24" t="s">
        <v>1294</v>
      </c>
      <c r="E238" s="25" t="s">
        <v>1378</v>
      </c>
    </row>
    <row r="239" spans="2:5" x14ac:dyDescent="0.35">
      <c r="B239" s="22" t="s">
        <v>1379</v>
      </c>
      <c r="C239" s="24" t="s">
        <v>1382</v>
      </c>
      <c r="D239" s="24" t="s">
        <v>1294</v>
      </c>
      <c r="E239" s="25" t="s">
        <v>1384</v>
      </c>
    </row>
    <row r="240" spans="2:5" x14ac:dyDescent="0.35">
      <c r="B240" s="22" t="s">
        <v>1379</v>
      </c>
      <c r="C240" s="24" t="s">
        <v>1381</v>
      </c>
      <c r="D240" s="24" t="s">
        <v>1294</v>
      </c>
      <c r="E240" s="25" t="s">
        <v>1384</v>
      </c>
    </row>
    <row r="241" spans="2:5" x14ac:dyDescent="0.35">
      <c r="B241" s="22" t="s">
        <v>1379</v>
      </c>
      <c r="C241" s="24" t="s">
        <v>1383</v>
      </c>
      <c r="D241" s="24" t="s">
        <v>1294</v>
      </c>
      <c r="E241" s="25" t="s">
        <v>1384</v>
      </c>
    </row>
    <row r="242" spans="2:5" x14ac:dyDescent="0.35">
      <c r="B242" s="22" t="s">
        <v>1379</v>
      </c>
      <c r="C242" s="24" t="s">
        <v>1387</v>
      </c>
      <c r="D242" s="24" t="s">
        <v>1294</v>
      </c>
      <c r="E242" s="25" t="s">
        <v>1384</v>
      </c>
    </row>
    <row r="243" spans="2:5" x14ac:dyDescent="0.35">
      <c r="B243" s="22" t="s">
        <v>1379</v>
      </c>
      <c r="C243" s="24" t="s">
        <v>1388</v>
      </c>
      <c r="D243" s="24" t="s">
        <v>1294</v>
      </c>
      <c r="E243" s="25" t="s">
        <v>1384</v>
      </c>
    </row>
    <row r="244" spans="2:5" x14ac:dyDescent="0.35">
      <c r="B244" s="22" t="s">
        <v>1379</v>
      </c>
      <c r="C244" s="24" t="s">
        <v>1389</v>
      </c>
      <c r="D244" s="24" t="s">
        <v>1294</v>
      </c>
      <c r="E244" s="25" t="s">
        <v>1384</v>
      </c>
    </row>
    <row r="245" spans="2:5" x14ac:dyDescent="0.35">
      <c r="B245" s="22" t="s">
        <v>1379</v>
      </c>
      <c r="C245" s="24" t="s">
        <v>1390</v>
      </c>
      <c r="D245" s="24" t="s">
        <v>1294</v>
      </c>
      <c r="E245" s="25" t="s">
        <v>1384</v>
      </c>
    </row>
    <row r="246" spans="2:5" x14ac:dyDescent="0.35">
      <c r="B246" s="22" t="s">
        <v>1559</v>
      </c>
      <c r="C246" s="24" t="s">
        <v>1560</v>
      </c>
      <c r="D246" s="24" t="s">
        <v>1294</v>
      </c>
      <c r="E246" s="25" t="s">
        <v>1572</v>
      </c>
    </row>
    <row r="247" spans="2:5" x14ac:dyDescent="0.35">
      <c r="B247" s="22" t="s">
        <v>1559</v>
      </c>
      <c r="C247" s="24" t="s">
        <v>1561</v>
      </c>
      <c r="D247" s="24" t="s">
        <v>1294</v>
      </c>
      <c r="E247" s="25" t="s">
        <v>1572</v>
      </c>
    </row>
    <row r="248" spans="2:5" x14ac:dyDescent="0.35">
      <c r="B248" s="22" t="s">
        <v>1559</v>
      </c>
      <c r="C248" s="24" t="s">
        <v>1563</v>
      </c>
      <c r="D248" s="24" t="s">
        <v>1294</v>
      </c>
      <c r="E248" s="25" t="s">
        <v>1572</v>
      </c>
    </row>
    <row r="249" spans="2:5" x14ac:dyDescent="0.35">
      <c r="B249" s="22" t="s">
        <v>1559</v>
      </c>
      <c r="C249" s="24" t="s">
        <v>1564</v>
      </c>
      <c r="D249" s="24" t="s">
        <v>1294</v>
      </c>
      <c r="E249" s="25" t="s">
        <v>1572</v>
      </c>
    </row>
    <row r="250" spans="2:5" x14ac:dyDescent="0.35">
      <c r="B250" s="22" t="s">
        <v>1559</v>
      </c>
      <c r="C250" s="24" t="s">
        <v>1565</v>
      </c>
      <c r="D250" s="24" t="s">
        <v>1294</v>
      </c>
      <c r="E250" s="25" t="s">
        <v>1572</v>
      </c>
    </row>
    <row r="251" spans="2:5" x14ac:dyDescent="0.35">
      <c r="B251" s="22" t="s">
        <v>1559</v>
      </c>
      <c r="C251" s="24" t="s">
        <v>1566</v>
      </c>
      <c r="D251" s="24" t="s">
        <v>1294</v>
      </c>
      <c r="E251" s="25" t="s">
        <v>1572</v>
      </c>
    </row>
    <row r="252" spans="2:5" x14ac:dyDescent="0.35">
      <c r="B252" s="22" t="s">
        <v>1559</v>
      </c>
      <c r="C252" s="24" t="s">
        <v>1567</v>
      </c>
      <c r="D252" s="24" t="s">
        <v>1294</v>
      </c>
      <c r="E252" s="25" t="s">
        <v>1572</v>
      </c>
    </row>
    <row r="253" spans="2:5" x14ac:dyDescent="0.35">
      <c r="B253" s="22" t="s">
        <v>1559</v>
      </c>
      <c r="C253" s="24" t="s">
        <v>1568</v>
      </c>
      <c r="D253" s="24" t="s">
        <v>1294</v>
      </c>
      <c r="E253" s="25" t="s">
        <v>1572</v>
      </c>
    </row>
    <row r="254" spans="2:5" x14ac:dyDescent="0.35">
      <c r="B254" s="22" t="s">
        <v>1559</v>
      </c>
      <c r="C254" s="24" t="s">
        <v>1569</v>
      </c>
      <c r="D254" s="24" t="s">
        <v>1294</v>
      </c>
      <c r="E254" s="25" t="s">
        <v>1572</v>
      </c>
    </row>
    <row r="255" spans="2:5" x14ac:dyDescent="0.35">
      <c r="B255" s="22" t="s">
        <v>1559</v>
      </c>
      <c r="C255" s="24" t="s">
        <v>1571</v>
      </c>
      <c r="D255" s="24" t="s">
        <v>1294</v>
      </c>
      <c r="E255" s="25" t="s">
        <v>1572</v>
      </c>
    </row>
    <row r="256" spans="2:5" x14ac:dyDescent="0.35">
      <c r="B256" s="22" t="s">
        <v>1559</v>
      </c>
      <c r="C256" s="24" t="s">
        <v>1570</v>
      </c>
      <c r="D256" s="24" t="s">
        <v>1294</v>
      </c>
      <c r="E256" s="25" t="s">
        <v>1572</v>
      </c>
    </row>
    <row r="257" spans="2:5" x14ac:dyDescent="0.35">
      <c r="B257" s="22" t="s">
        <v>1559</v>
      </c>
      <c r="C257" s="24" t="s">
        <v>1573</v>
      </c>
      <c r="D257" s="24" t="s">
        <v>1294</v>
      </c>
      <c r="E257" s="25" t="s">
        <v>1572</v>
      </c>
    </row>
    <row r="258" spans="2:5" x14ac:dyDescent="0.35">
      <c r="B258" s="22" t="s">
        <v>1559</v>
      </c>
      <c r="C258" s="24" t="s">
        <v>1574</v>
      </c>
      <c r="D258" s="24" t="s">
        <v>1294</v>
      </c>
      <c r="E258" s="25" t="s">
        <v>1572</v>
      </c>
    </row>
    <row r="259" spans="2:5" x14ac:dyDescent="0.35">
      <c r="B259" s="22" t="s">
        <v>1559</v>
      </c>
      <c r="C259" s="24" t="s">
        <v>1575</v>
      </c>
      <c r="D259" s="24" t="s">
        <v>1294</v>
      </c>
      <c r="E259" s="25" t="s">
        <v>1572</v>
      </c>
    </row>
    <row r="260" spans="2:5" x14ac:dyDescent="0.35">
      <c r="B260" s="22" t="s">
        <v>1559</v>
      </c>
      <c r="C260" s="24" t="s">
        <v>1576</v>
      </c>
      <c r="D260" s="24" t="s">
        <v>1294</v>
      </c>
      <c r="E260" s="25" t="s">
        <v>1572</v>
      </c>
    </row>
    <row r="261" spans="2:5" x14ac:dyDescent="0.35">
      <c r="B261" s="22" t="s">
        <v>1559</v>
      </c>
      <c r="C261" s="24" t="s">
        <v>1577</v>
      </c>
      <c r="D261" s="24" t="s">
        <v>1294</v>
      </c>
      <c r="E261" s="25" t="s">
        <v>1572</v>
      </c>
    </row>
    <row r="262" spans="2:5" x14ac:dyDescent="0.35">
      <c r="B262" s="22" t="s">
        <v>1559</v>
      </c>
      <c r="C262" s="24" t="s">
        <v>1578</v>
      </c>
      <c r="D262" s="24" t="s">
        <v>1294</v>
      </c>
      <c r="E262" s="25" t="s">
        <v>1572</v>
      </c>
    </row>
    <row r="263" spans="2:5" x14ac:dyDescent="0.35">
      <c r="B263" s="22" t="s">
        <v>1559</v>
      </c>
      <c r="C263" s="24" t="s">
        <v>1579</v>
      </c>
      <c r="D263" s="24" t="s">
        <v>1294</v>
      </c>
      <c r="E263" s="25" t="s">
        <v>1572</v>
      </c>
    </row>
    <row r="264" spans="2:5" x14ac:dyDescent="0.35">
      <c r="B264" s="22" t="s">
        <v>1559</v>
      </c>
      <c r="C264" s="24" t="s">
        <v>1580</v>
      </c>
      <c r="D264" s="24" t="s">
        <v>1294</v>
      </c>
      <c r="E264" s="25" t="s">
        <v>1572</v>
      </c>
    </row>
    <row r="265" spans="2:5" x14ac:dyDescent="0.35">
      <c r="B265" s="22" t="s">
        <v>1559</v>
      </c>
      <c r="C265" s="24" t="s">
        <v>1581</v>
      </c>
      <c r="D265" s="24" t="s">
        <v>1294</v>
      </c>
      <c r="E265" s="25" t="s">
        <v>1572</v>
      </c>
    </row>
    <row r="266" spans="2:5" x14ac:dyDescent="0.35">
      <c r="B266" s="22" t="s">
        <v>1559</v>
      </c>
      <c r="C266" s="24" t="s">
        <v>1583</v>
      </c>
      <c r="D266" s="24" t="s">
        <v>1294</v>
      </c>
      <c r="E266" s="25" t="s">
        <v>1572</v>
      </c>
    </row>
    <row r="267" spans="2:5" x14ac:dyDescent="0.35">
      <c r="B267" s="22" t="s">
        <v>1559</v>
      </c>
      <c r="C267" s="24" t="s">
        <v>1584</v>
      </c>
      <c r="D267" s="24" t="s">
        <v>1294</v>
      </c>
      <c r="E267" s="25" t="s">
        <v>1572</v>
      </c>
    </row>
    <row r="268" spans="2:5" x14ac:dyDescent="0.35">
      <c r="B268" s="22" t="s">
        <v>1559</v>
      </c>
      <c r="C268" s="24" t="s">
        <v>1585</v>
      </c>
      <c r="D268" s="24" t="s">
        <v>1294</v>
      </c>
      <c r="E268" s="25" t="s">
        <v>1586</v>
      </c>
    </row>
    <row r="269" spans="2:5" x14ac:dyDescent="0.35">
      <c r="B269" s="22" t="s">
        <v>1600</v>
      </c>
      <c r="C269" s="24" t="s">
        <v>1601</v>
      </c>
      <c r="D269" s="24" t="s">
        <v>1294</v>
      </c>
      <c r="E269" s="25" t="s">
        <v>1602</v>
      </c>
    </row>
    <row r="270" spans="2:5" x14ac:dyDescent="0.35">
      <c r="B270" s="22" t="s">
        <v>1600</v>
      </c>
      <c r="C270" s="24" t="s">
        <v>1603</v>
      </c>
      <c r="D270" s="24" t="s">
        <v>1294</v>
      </c>
      <c r="E270" s="25" t="s">
        <v>1602</v>
      </c>
    </row>
    <row r="271" spans="2:5" x14ac:dyDescent="0.35">
      <c r="B271" s="22" t="s">
        <v>1600</v>
      </c>
      <c r="C271" s="24" t="s">
        <v>1608</v>
      </c>
      <c r="D271" s="24" t="s">
        <v>1294</v>
      </c>
      <c r="E271" s="25" t="s">
        <v>1602</v>
      </c>
    </row>
    <row r="272" spans="2:5" x14ac:dyDescent="0.35">
      <c r="B272" s="22" t="s">
        <v>1600</v>
      </c>
      <c r="C272" s="24" t="s">
        <v>1609</v>
      </c>
      <c r="D272" s="24" t="s">
        <v>1294</v>
      </c>
      <c r="E272" s="25" t="s">
        <v>1602</v>
      </c>
    </row>
    <row r="273" spans="2:5" x14ac:dyDescent="0.35">
      <c r="B273" s="22" t="s">
        <v>1600</v>
      </c>
      <c r="C273" s="24" t="s">
        <v>1611</v>
      </c>
      <c r="D273" s="24" t="s">
        <v>1294</v>
      </c>
      <c r="E273" s="25" t="s">
        <v>1602</v>
      </c>
    </row>
    <row r="274" spans="2:5" x14ac:dyDescent="0.35">
      <c r="B274" s="22" t="s">
        <v>1600</v>
      </c>
      <c r="C274" s="24" t="s">
        <v>1612</v>
      </c>
      <c r="D274" s="24" t="s">
        <v>1294</v>
      </c>
      <c r="E274" s="25" t="s">
        <v>1602</v>
      </c>
    </row>
    <row r="275" spans="2:5" x14ac:dyDescent="0.35">
      <c r="B275" s="22" t="s">
        <v>1600</v>
      </c>
      <c r="C275" s="24" t="s">
        <v>1614</v>
      </c>
      <c r="D275" s="24" t="s">
        <v>1294</v>
      </c>
      <c r="E275" s="25" t="s">
        <v>1602</v>
      </c>
    </row>
    <row r="276" spans="2:5" x14ac:dyDescent="0.35">
      <c r="B276" s="22" t="s">
        <v>1600</v>
      </c>
      <c r="C276" s="24" t="s">
        <v>1615</v>
      </c>
      <c r="D276" s="24" t="s">
        <v>1294</v>
      </c>
      <c r="E276" s="25" t="s">
        <v>1602</v>
      </c>
    </row>
    <row r="277" spans="2:5" x14ac:dyDescent="0.35">
      <c r="B277" s="22" t="s">
        <v>1600</v>
      </c>
      <c r="C277" s="24" t="s">
        <v>1616</v>
      </c>
      <c r="D277" s="24" t="s">
        <v>1294</v>
      </c>
      <c r="E277" s="25" t="s">
        <v>1602</v>
      </c>
    </row>
    <row r="278" spans="2:5" x14ac:dyDescent="0.35">
      <c r="B278" s="22" t="s">
        <v>1600</v>
      </c>
      <c r="C278" s="24" t="s">
        <v>1617</v>
      </c>
      <c r="D278" s="24" t="s">
        <v>1294</v>
      </c>
      <c r="E278" s="25" t="s">
        <v>1602</v>
      </c>
    </row>
    <row r="279" spans="2:5" x14ac:dyDescent="0.35">
      <c r="B279" s="22" t="s">
        <v>1623</v>
      </c>
      <c r="C279" s="24" t="s">
        <v>1625</v>
      </c>
      <c r="D279" s="24" t="s">
        <v>1294</v>
      </c>
      <c r="E279" s="25" t="s">
        <v>1624</v>
      </c>
    </row>
    <row r="280" spans="2:5" x14ac:dyDescent="0.35">
      <c r="B280" s="22" t="s">
        <v>1623</v>
      </c>
      <c r="C280" s="24" t="s">
        <v>1626</v>
      </c>
      <c r="D280" s="24" t="s">
        <v>1294</v>
      </c>
      <c r="E280" s="25" t="s">
        <v>1624</v>
      </c>
    </row>
    <row r="281" spans="2:5" x14ac:dyDescent="0.35">
      <c r="B281" s="22" t="s">
        <v>1623</v>
      </c>
      <c r="C281" s="24" t="s">
        <v>1627</v>
      </c>
      <c r="D281" s="24" t="s">
        <v>1294</v>
      </c>
      <c r="E281" s="25" t="s">
        <v>1624</v>
      </c>
    </row>
    <row r="282" spans="2:5" x14ac:dyDescent="0.35">
      <c r="B282" s="22" t="s">
        <v>1623</v>
      </c>
      <c r="C282" s="24" t="s">
        <v>1628</v>
      </c>
      <c r="D282" s="24" t="s">
        <v>1294</v>
      </c>
      <c r="E282" s="25" t="s">
        <v>1624</v>
      </c>
    </row>
    <row r="283" spans="2:5" x14ac:dyDescent="0.35">
      <c r="B283" s="22" t="s">
        <v>1623</v>
      </c>
      <c r="C283" s="24" t="s">
        <v>1633</v>
      </c>
      <c r="D283" s="24" t="s">
        <v>1294</v>
      </c>
      <c r="E283" s="25" t="s">
        <v>1624</v>
      </c>
    </row>
    <row r="284" spans="2:5" x14ac:dyDescent="0.35">
      <c r="B284" s="22" t="s">
        <v>1623</v>
      </c>
      <c r="C284" s="24" t="s">
        <v>1634</v>
      </c>
      <c r="D284" s="24" t="s">
        <v>1294</v>
      </c>
      <c r="E284" s="25" t="s">
        <v>1624</v>
      </c>
    </row>
    <row r="285" spans="2:5" x14ac:dyDescent="0.35">
      <c r="B285" s="22" t="s">
        <v>1623</v>
      </c>
      <c r="C285" s="24" t="s">
        <v>1635</v>
      </c>
      <c r="D285" s="24" t="s">
        <v>1294</v>
      </c>
      <c r="E285" s="25" t="s">
        <v>1624</v>
      </c>
    </row>
    <row r="286" spans="2:5" x14ac:dyDescent="0.35">
      <c r="B286" s="22" t="s">
        <v>1623</v>
      </c>
      <c r="C286" s="24" t="s">
        <v>1636</v>
      </c>
      <c r="D286" s="24" t="s">
        <v>1294</v>
      </c>
      <c r="E286" s="25" t="s">
        <v>1624</v>
      </c>
    </row>
    <row r="287" spans="2:5" x14ac:dyDescent="0.35">
      <c r="B287" s="22" t="s">
        <v>1623</v>
      </c>
      <c r="C287" s="24" t="s">
        <v>1637</v>
      </c>
      <c r="D287" s="24" t="s">
        <v>1294</v>
      </c>
      <c r="E287" s="25" t="s">
        <v>1624</v>
      </c>
    </row>
    <row r="288" spans="2:5" x14ac:dyDescent="0.35">
      <c r="B288" s="22" t="s">
        <v>1623</v>
      </c>
      <c r="C288" s="24" t="s">
        <v>1638</v>
      </c>
      <c r="D288" s="24" t="s">
        <v>1294</v>
      </c>
      <c r="E288" s="25" t="s">
        <v>1624</v>
      </c>
    </row>
    <row r="289" spans="2:5" x14ac:dyDescent="0.35">
      <c r="B289" s="22" t="s">
        <v>1623</v>
      </c>
      <c r="C289" s="24" t="s">
        <v>1639</v>
      </c>
      <c r="D289" s="24" t="s">
        <v>1294</v>
      </c>
      <c r="E289" s="25" t="s">
        <v>1624</v>
      </c>
    </row>
    <row r="290" spans="2:5" x14ac:dyDescent="0.35">
      <c r="B290" s="22" t="s">
        <v>1623</v>
      </c>
      <c r="C290" s="24" t="s">
        <v>1640</v>
      </c>
      <c r="D290" s="24" t="s">
        <v>1294</v>
      </c>
      <c r="E290" s="25" t="s">
        <v>1624</v>
      </c>
    </row>
    <row r="291" spans="2:5" x14ac:dyDescent="0.35">
      <c r="B291" s="22" t="s">
        <v>1623</v>
      </c>
      <c r="C291" s="24" t="s">
        <v>1641</v>
      </c>
      <c r="D291" s="24" t="s">
        <v>1294</v>
      </c>
      <c r="E291" s="25" t="s">
        <v>1624</v>
      </c>
    </row>
    <row r="292" spans="2:5" x14ac:dyDescent="0.35">
      <c r="B292" s="22" t="s">
        <v>1623</v>
      </c>
      <c r="C292" s="24" t="s">
        <v>1642</v>
      </c>
      <c r="D292" s="24" t="s">
        <v>1294</v>
      </c>
      <c r="E292" s="25" t="s">
        <v>1624</v>
      </c>
    </row>
    <row r="293" spans="2:5" x14ac:dyDescent="0.35">
      <c r="B293" s="22" t="s">
        <v>1623</v>
      </c>
      <c r="C293" s="24" t="s">
        <v>1643</v>
      </c>
      <c r="D293" s="24" t="s">
        <v>1294</v>
      </c>
      <c r="E293" s="25" t="s">
        <v>1624</v>
      </c>
    </row>
    <row r="294" spans="2:5" x14ac:dyDescent="0.35">
      <c r="B294" s="22" t="s">
        <v>1623</v>
      </c>
      <c r="C294" s="24" t="s">
        <v>1644</v>
      </c>
      <c r="D294" s="24" t="s">
        <v>1294</v>
      </c>
      <c r="E294" s="25" t="s">
        <v>1624</v>
      </c>
    </row>
    <row r="295" spans="2:5" x14ac:dyDescent="0.35">
      <c r="B295" s="22" t="s">
        <v>1623</v>
      </c>
      <c r="C295" s="24" t="s">
        <v>1647</v>
      </c>
      <c r="D295" s="24" t="s">
        <v>1294</v>
      </c>
      <c r="E295" s="25" t="s">
        <v>1646</v>
      </c>
    </row>
    <row r="296" spans="2:5" x14ac:dyDescent="0.35">
      <c r="B296" s="22" t="s">
        <v>1623</v>
      </c>
      <c r="C296" s="24" t="s">
        <v>1649</v>
      </c>
      <c r="D296" s="24" t="s">
        <v>1294</v>
      </c>
      <c r="E296" s="25" t="s">
        <v>1646</v>
      </c>
    </row>
    <row r="297" spans="2:5" x14ac:dyDescent="0.35">
      <c r="B297" s="22" t="s">
        <v>1623</v>
      </c>
      <c r="C297" s="24" t="s">
        <v>1651</v>
      </c>
      <c r="D297" s="24" t="s">
        <v>1294</v>
      </c>
      <c r="E297" s="25" t="s">
        <v>1646</v>
      </c>
    </row>
    <row r="298" spans="2:5" x14ac:dyDescent="0.35">
      <c r="B298" s="22" t="s">
        <v>1657</v>
      </c>
      <c r="C298" s="24" t="s">
        <v>1658</v>
      </c>
      <c r="D298" s="24" t="s">
        <v>1294</v>
      </c>
      <c r="E298" s="25" t="s">
        <v>1659</v>
      </c>
    </row>
    <row r="299" spans="2:5" x14ac:dyDescent="0.35">
      <c r="B299" s="22" t="s">
        <v>1657</v>
      </c>
      <c r="C299" s="24" t="s">
        <v>1660</v>
      </c>
      <c r="D299" s="24" t="s">
        <v>1294</v>
      </c>
      <c r="E299" s="25" t="s">
        <v>1659</v>
      </c>
    </row>
    <row r="300" spans="2:5" x14ac:dyDescent="0.35">
      <c r="B300" s="22" t="s">
        <v>1657</v>
      </c>
      <c r="C300" s="24" t="s">
        <v>1661</v>
      </c>
      <c r="D300" s="24" t="s">
        <v>1294</v>
      </c>
      <c r="E300" s="25" t="s">
        <v>1659</v>
      </c>
    </row>
    <row r="301" spans="2:5" x14ac:dyDescent="0.35">
      <c r="B301" s="22" t="s">
        <v>1657</v>
      </c>
      <c r="C301" s="24" t="s">
        <v>1662</v>
      </c>
      <c r="D301" s="24" t="s">
        <v>1294</v>
      </c>
      <c r="E301" s="25" t="s">
        <v>1659</v>
      </c>
    </row>
    <row r="302" spans="2:5" x14ac:dyDescent="0.35">
      <c r="B302" s="22" t="s">
        <v>1657</v>
      </c>
      <c r="C302" s="24" t="s">
        <v>1663</v>
      </c>
      <c r="D302" s="24" t="s">
        <v>1294</v>
      </c>
      <c r="E302" s="25" t="s">
        <v>1659</v>
      </c>
    </row>
    <row r="303" spans="2:5" x14ac:dyDescent="0.35">
      <c r="B303" s="22" t="s">
        <v>1657</v>
      </c>
      <c r="C303" s="24" t="s">
        <v>1664</v>
      </c>
      <c r="D303" s="24" t="s">
        <v>1294</v>
      </c>
      <c r="E303" s="25" t="s">
        <v>1659</v>
      </c>
    </row>
    <row r="304" spans="2:5" x14ac:dyDescent="0.35">
      <c r="B304" s="22" t="s">
        <v>1657</v>
      </c>
      <c r="C304" s="24" t="s">
        <v>1665</v>
      </c>
      <c r="D304" s="24" t="s">
        <v>1294</v>
      </c>
      <c r="E304" s="25" t="s">
        <v>1659</v>
      </c>
    </row>
    <row r="305" spans="2:5" x14ac:dyDescent="0.35">
      <c r="B305" s="22" t="s">
        <v>1673</v>
      </c>
      <c r="C305" s="24" t="s">
        <v>1674</v>
      </c>
      <c r="D305" s="24" t="s">
        <v>1294</v>
      </c>
      <c r="E305" s="25" t="s">
        <v>1681</v>
      </c>
    </row>
    <row r="306" spans="2:5" x14ac:dyDescent="0.35">
      <c r="B306" s="22" t="s">
        <v>1673</v>
      </c>
      <c r="C306" s="24" t="s">
        <v>1675</v>
      </c>
      <c r="D306" s="24" t="s">
        <v>1294</v>
      </c>
      <c r="E306" s="25" t="s">
        <v>1681</v>
      </c>
    </row>
    <row r="307" spans="2:5" x14ac:dyDescent="0.35">
      <c r="B307" s="22" t="s">
        <v>1673</v>
      </c>
      <c r="C307" s="24" t="s">
        <v>1676</v>
      </c>
      <c r="D307" s="24" t="s">
        <v>1294</v>
      </c>
      <c r="E307" s="25" t="s">
        <v>1681</v>
      </c>
    </row>
    <row r="308" spans="2:5" x14ac:dyDescent="0.35">
      <c r="B308" s="22" t="s">
        <v>1673</v>
      </c>
      <c r="C308" s="24" t="s">
        <v>1677</v>
      </c>
      <c r="D308" s="24" t="s">
        <v>1294</v>
      </c>
      <c r="E308" s="25" t="s">
        <v>1681</v>
      </c>
    </row>
    <row r="309" spans="2:5" x14ac:dyDescent="0.35">
      <c r="B309" s="22" t="s">
        <v>1673</v>
      </c>
      <c r="C309" s="24" t="s">
        <v>1678</v>
      </c>
      <c r="D309" s="24" t="s">
        <v>1294</v>
      </c>
      <c r="E309" s="25" t="s">
        <v>1681</v>
      </c>
    </row>
    <row r="310" spans="2:5" x14ac:dyDescent="0.35">
      <c r="B310" s="22" t="s">
        <v>1673</v>
      </c>
      <c r="C310" s="24" t="s">
        <v>1679</v>
      </c>
      <c r="D310" s="24" t="s">
        <v>1294</v>
      </c>
      <c r="E310" s="25" t="s">
        <v>1681</v>
      </c>
    </row>
    <row r="311" spans="2:5" x14ac:dyDescent="0.35">
      <c r="B311" s="22" t="s">
        <v>1673</v>
      </c>
      <c r="C311" s="24" t="s">
        <v>1680</v>
      </c>
      <c r="D311" s="24" t="s">
        <v>1294</v>
      </c>
      <c r="E311" s="25" t="s">
        <v>1681</v>
      </c>
    </row>
    <row r="312" spans="2:5" x14ac:dyDescent="0.35">
      <c r="B312" s="22" t="s">
        <v>1682</v>
      </c>
      <c r="C312" s="24" t="s">
        <v>1683</v>
      </c>
      <c r="D312" s="24" t="s">
        <v>1294</v>
      </c>
      <c r="E312" s="25" t="s">
        <v>1689</v>
      </c>
    </row>
    <row r="313" spans="2:5" x14ac:dyDescent="0.35">
      <c r="B313" s="22" t="s">
        <v>1682</v>
      </c>
      <c r="C313" s="24" t="s">
        <v>1684</v>
      </c>
      <c r="D313" s="24" t="s">
        <v>1294</v>
      </c>
      <c r="E313" s="25" t="s">
        <v>1689</v>
      </c>
    </row>
    <row r="314" spans="2:5" x14ac:dyDescent="0.35">
      <c r="B314" s="22" t="s">
        <v>1682</v>
      </c>
      <c r="C314" s="24" t="s">
        <v>1687</v>
      </c>
      <c r="D314" s="24" t="s">
        <v>1294</v>
      </c>
      <c r="E314" s="25" t="s">
        <v>1689</v>
      </c>
    </row>
    <row r="315" spans="2:5" x14ac:dyDescent="0.35">
      <c r="B315" s="22" t="s">
        <v>1682</v>
      </c>
      <c r="C315" s="24" t="s">
        <v>1688</v>
      </c>
      <c r="D315" s="24" t="s">
        <v>1294</v>
      </c>
      <c r="E315" s="25" t="s">
        <v>1689</v>
      </c>
    </row>
    <row r="316" spans="2:5" x14ac:dyDescent="0.35">
      <c r="B316" s="22" t="s">
        <v>1682</v>
      </c>
      <c r="C316" s="24" t="s">
        <v>1690</v>
      </c>
      <c r="D316" s="24" t="s">
        <v>1294</v>
      </c>
      <c r="E316" s="25" t="s">
        <v>1689</v>
      </c>
    </row>
    <row r="317" spans="2:5" x14ac:dyDescent="0.35">
      <c r="B317" s="22" t="s">
        <v>1682</v>
      </c>
      <c r="C317" s="24" t="s">
        <v>1692</v>
      </c>
      <c r="D317" s="24" t="s">
        <v>1294</v>
      </c>
      <c r="E317" s="25" t="s">
        <v>1691</v>
      </c>
    </row>
    <row r="318" spans="2:5" x14ac:dyDescent="0.35">
      <c r="B318" s="22" t="s">
        <v>1682</v>
      </c>
      <c r="C318" s="24" t="s">
        <v>1693</v>
      </c>
      <c r="D318" s="24" t="s">
        <v>1294</v>
      </c>
      <c r="E318" s="25" t="s">
        <v>1691</v>
      </c>
    </row>
    <row r="319" spans="2:5" x14ac:dyDescent="0.35">
      <c r="B319" s="22" t="s">
        <v>1706</v>
      </c>
      <c r="C319" s="24" t="s">
        <v>1707</v>
      </c>
      <c r="D319" s="24" t="s">
        <v>1294</v>
      </c>
      <c r="E319" s="25" t="s">
        <v>1709</v>
      </c>
    </row>
    <row r="320" spans="2:5" x14ac:dyDescent="0.35">
      <c r="B320" s="22" t="s">
        <v>1706</v>
      </c>
      <c r="C320" s="24" t="s">
        <v>1708</v>
      </c>
      <c r="D320" s="24" t="s">
        <v>1294</v>
      </c>
      <c r="E320" s="25" t="s">
        <v>1709</v>
      </c>
    </row>
    <row r="321" spans="2:5" x14ac:dyDescent="0.35">
      <c r="B321" s="22" t="s">
        <v>1722</v>
      </c>
      <c r="C321" s="24" t="s">
        <v>1723</v>
      </c>
      <c r="D321" s="24" t="s">
        <v>1294</v>
      </c>
      <c r="E321" s="25" t="s">
        <v>1721</v>
      </c>
    </row>
    <row r="322" spans="2:5" x14ac:dyDescent="0.35">
      <c r="B322" s="22" t="s">
        <v>1722</v>
      </c>
      <c r="C322" s="24" t="s">
        <v>1724</v>
      </c>
      <c r="D322" s="24" t="s">
        <v>1294</v>
      </c>
      <c r="E322" s="25" t="s">
        <v>1721</v>
      </c>
    </row>
    <row r="323" spans="2:5" x14ac:dyDescent="0.35">
      <c r="B323" s="22" t="s">
        <v>1722</v>
      </c>
      <c r="C323" s="24" t="s">
        <v>1726</v>
      </c>
      <c r="D323" s="24" t="s">
        <v>1294</v>
      </c>
      <c r="E323" s="25" t="s">
        <v>1721</v>
      </c>
    </row>
    <row r="324" spans="2:5" x14ac:dyDescent="0.35">
      <c r="B324" s="22" t="s">
        <v>1722</v>
      </c>
      <c r="C324" s="24" t="s">
        <v>1725</v>
      </c>
      <c r="D324" s="24" t="s">
        <v>1294</v>
      </c>
      <c r="E324" s="25" t="s">
        <v>1721</v>
      </c>
    </row>
    <row r="325" spans="2:5" x14ac:dyDescent="0.35">
      <c r="B325" s="22" t="s">
        <v>1722</v>
      </c>
      <c r="C325" s="24" t="s">
        <v>1727</v>
      </c>
      <c r="D325" s="24" t="s">
        <v>1294</v>
      </c>
      <c r="E325" s="25" t="s">
        <v>1721</v>
      </c>
    </row>
    <row r="326" spans="2:5" x14ac:dyDescent="0.35">
      <c r="B326" s="22" t="s">
        <v>1722</v>
      </c>
      <c r="C326" s="24" t="s">
        <v>1728</v>
      </c>
      <c r="D326" s="24" t="s">
        <v>1294</v>
      </c>
      <c r="E326" s="25" t="s">
        <v>1721</v>
      </c>
    </row>
    <row r="327" spans="2:5" x14ac:dyDescent="0.35">
      <c r="B327" s="22" t="s">
        <v>1722</v>
      </c>
      <c r="C327" s="24" t="s">
        <v>1733</v>
      </c>
      <c r="D327" s="24" t="s">
        <v>1294</v>
      </c>
      <c r="E327" s="25" t="s">
        <v>1721</v>
      </c>
    </row>
    <row r="328" spans="2:5" x14ac:dyDescent="0.35">
      <c r="B328" s="22" t="s">
        <v>1722</v>
      </c>
      <c r="C328" s="24" t="s">
        <v>1735</v>
      </c>
      <c r="D328" s="24" t="s">
        <v>1294</v>
      </c>
      <c r="E328" s="25" t="s">
        <v>1742</v>
      </c>
    </row>
    <row r="329" spans="2:5" x14ac:dyDescent="0.35">
      <c r="B329" s="22" t="s">
        <v>1722</v>
      </c>
      <c r="C329" s="24" t="s">
        <v>1736</v>
      </c>
      <c r="D329" s="24" t="s">
        <v>1294</v>
      </c>
      <c r="E329" s="25" t="s">
        <v>1742</v>
      </c>
    </row>
    <row r="330" spans="2:5" x14ac:dyDescent="0.35">
      <c r="B330" s="22" t="s">
        <v>1722</v>
      </c>
      <c r="C330" s="24" t="s">
        <v>1737</v>
      </c>
      <c r="D330" s="24" t="s">
        <v>1294</v>
      </c>
      <c r="E330" s="25" t="s">
        <v>1742</v>
      </c>
    </row>
    <row r="331" spans="2:5" x14ac:dyDescent="0.35">
      <c r="B331" s="22" t="s">
        <v>1722</v>
      </c>
      <c r="C331" s="24" t="s">
        <v>1738</v>
      </c>
      <c r="D331" s="24" t="s">
        <v>1294</v>
      </c>
      <c r="E331" s="25" t="s">
        <v>1742</v>
      </c>
    </row>
    <row r="332" spans="2:5" x14ac:dyDescent="0.35">
      <c r="B332" s="22" t="s">
        <v>1722</v>
      </c>
      <c r="C332" s="24" t="s">
        <v>1739</v>
      </c>
      <c r="D332" s="24" t="s">
        <v>1294</v>
      </c>
      <c r="E332" s="25" t="s">
        <v>1742</v>
      </c>
    </row>
    <row r="333" spans="2:5" x14ac:dyDescent="0.35">
      <c r="B333" s="22" t="s">
        <v>1722</v>
      </c>
      <c r="C333" s="24" t="s">
        <v>1740</v>
      </c>
      <c r="D333" s="24" t="s">
        <v>1294</v>
      </c>
      <c r="E333" s="25" t="s">
        <v>1742</v>
      </c>
    </row>
    <row r="334" spans="2:5" x14ac:dyDescent="0.35">
      <c r="B334" s="22" t="s">
        <v>1722</v>
      </c>
      <c r="C334" s="24" t="s">
        <v>1741</v>
      </c>
      <c r="D334" s="24" t="s">
        <v>1294</v>
      </c>
      <c r="E334" s="25" t="s">
        <v>1742</v>
      </c>
    </row>
    <row r="335" spans="2:5" x14ac:dyDescent="0.35">
      <c r="B335" s="22" t="s">
        <v>1744</v>
      </c>
      <c r="C335" s="24" t="s">
        <v>1745</v>
      </c>
      <c r="D335" s="24" t="s">
        <v>1294</v>
      </c>
      <c r="E335" s="25" t="s">
        <v>1748</v>
      </c>
    </row>
    <row r="336" spans="2:5" x14ac:dyDescent="0.35">
      <c r="B336" s="22" t="s">
        <v>1744</v>
      </c>
      <c r="C336" s="24" t="s">
        <v>1746</v>
      </c>
      <c r="D336" s="24" t="s">
        <v>1294</v>
      </c>
      <c r="E336" s="25" t="s">
        <v>1748</v>
      </c>
    </row>
    <row r="337" spans="2:5" x14ac:dyDescent="0.35">
      <c r="B337" s="22" t="s">
        <v>1744</v>
      </c>
      <c r="C337" s="24" t="s">
        <v>1747</v>
      </c>
      <c r="D337" s="24" t="s">
        <v>1294</v>
      </c>
      <c r="E337" s="25" t="s">
        <v>1748</v>
      </c>
    </row>
    <row r="338" spans="2:5" x14ac:dyDescent="0.35">
      <c r="B338" s="22" t="s">
        <v>1744</v>
      </c>
      <c r="C338" s="24" t="s">
        <v>1749</v>
      </c>
      <c r="D338" s="24" t="s">
        <v>1294</v>
      </c>
      <c r="E338" s="25" t="s">
        <v>1748</v>
      </c>
    </row>
    <row r="339" spans="2:5" x14ac:dyDescent="0.35">
      <c r="B339" s="22" t="s">
        <v>1744</v>
      </c>
      <c r="C339" s="24" t="s">
        <v>1753</v>
      </c>
      <c r="D339" s="24" t="s">
        <v>1294</v>
      </c>
      <c r="E339" s="25" t="s">
        <v>1754</v>
      </c>
    </row>
    <row r="340" spans="2:5" x14ac:dyDescent="0.35">
      <c r="B340" s="22" t="s">
        <v>1755</v>
      </c>
      <c r="C340" s="24" t="s">
        <v>1756</v>
      </c>
      <c r="D340" s="24" t="s">
        <v>1294</v>
      </c>
      <c r="E340" s="25" t="s">
        <v>1758</v>
      </c>
    </row>
    <row r="341" spans="2:5" x14ac:dyDescent="0.35">
      <c r="B341" s="22" t="s">
        <v>1755</v>
      </c>
      <c r="C341" s="24" t="s">
        <v>1757</v>
      </c>
      <c r="D341" s="24" t="s">
        <v>1294</v>
      </c>
      <c r="E341" s="25" t="s">
        <v>1758</v>
      </c>
    </row>
    <row r="342" spans="2:5" x14ac:dyDescent="0.35">
      <c r="B342" s="22" t="s">
        <v>1755</v>
      </c>
      <c r="C342" s="24" t="s">
        <v>1760</v>
      </c>
      <c r="D342" s="24" t="s">
        <v>1210</v>
      </c>
      <c r="E342" s="25" t="s">
        <v>1761</v>
      </c>
    </row>
    <row r="343" spans="2:5" x14ac:dyDescent="0.35">
      <c r="B343" s="22" t="s">
        <v>1755</v>
      </c>
      <c r="C343" s="24" t="s">
        <v>1763</v>
      </c>
      <c r="D343" s="24" t="s">
        <v>1210</v>
      </c>
      <c r="E343" s="25" t="s">
        <v>1761</v>
      </c>
    </row>
    <row r="344" spans="2:5" x14ac:dyDescent="0.35">
      <c r="B344" s="22" t="s">
        <v>1755</v>
      </c>
      <c r="C344" s="24" t="s">
        <v>1764</v>
      </c>
      <c r="D344" s="24" t="s">
        <v>1210</v>
      </c>
      <c r="E344" s="25" t="s">
        <v>1761</v>
      </c>
    </row>
    <row r="345" spans="2:5" ht="31" x14ac:dyDescent="0.35">
      <c r="B345" s="22" t="s">
        <v>1755</v>
      </c>
      <c r="C345" s="64" t="s">
        <v>1766</v>
      </c>
      <c r="D345" s="24" t="s">
        <v>1210</v>
      </c>
      <c r="E345" s="25" t="s">
        <v>1761</v>
      </c>
    </row>
    <row r="346" spans="2:5" ht="31" x14ac:dyDescent="0.35">
      <c r="B346" s="22" t="s">
        <v>1755</v>
      </c>
      <c r="C346" s="64" t="s">
        <v>1770</v>
      </c>
      <c r="D346" s="24" t="s">
        <v>1210</v>
      </c>
      <c r="E346" s="25" t="s">
        <v>1761</v>
      </c>
    </row>
    <row r="347" spans="2:5" x14ac:dyDescent="0.35">
      <c r="B347" s="22" t="s">
        <v>1755</v>
      </c>
      <c r="C347" s="24" t="s">
        <v>1768</v>
      </c>
      <c r="D347" s="24" t="s">
        <v>1210</v>
      </c>
      <c r="E347" s="25" t="s">
        <v>1769</v>
      </c>
    </row>
    <row r="348" spans="2:5" x14ac:dyDescent="0.35">
      <c r="B348" s="22" t="s">
        <v>1780</v>
      </c>
      <c r="C348" s="24" t="s">
        <v>1781</v>
      </c>
      <c r="D348" s="24" t="s">
        <v>1294</v>
      </c>
      <c r="E348" s="25" t="s">
        <v>1782</v>
      </c>
    </row>
    <row r="349" spans="2:5" x14ac:dyDescent="0.35">
      <c r="B349" s="22" t="s">
        <v>1780</v>
      </c>
      <c r="C349" s="24" t="s">
        <v>1783</v>
      </c>
      <c r="D349" s="24" t="s">
        <v>1294</v>
      </c>
      <c r="E349" s="25" t="s">
        <v>1782</v>
      </c>
    </row>
    <row r="350" spans="2:5" x14ac:dyDescent="0.35">
      <c r="B350" s="22" t="s">
        <v>1803</v>
      </c>
      <c r="C350" s="24" t="s">
        <v>1804</v>
      </c>
      <c r="D350" s="24" t="s">
        <v>1294</v>
      </c>
      <c r="E350" s="25" t="s">
        <v>1805</v>
      </c>
    </row>
    <row r="351" spans="2:5" x14ac:dyDescent="0.35">
      <c r="B351" s="22" t="s">
        <v>1806</v>
      </c>
      <c r="C351" s="24" t="s">
        <v>1807</v>
      </c>
      <c r="D351" s="24" t="s">
        <v>1294</v>
      </c>
      <c r="E351" s="25" t="s">
        <v>1808</v>
      </c>
    </row>
    <row r="352" spans="2:5" x14ac:dyDescent="0.35">
      <c r="B352" s="22" t="s">
        <v>1809</v>
      </c>
      <c r="C352" s="24" t="s">
        <v>1810</v>
      </c>
      <c r="D352" s="24" t="s">
        <v>1294</v>
      </c>
      <c r="E352" s="25" t="s">
        <v>1811</v>
      </c>
    </row>
    <row r="353" spans="2:5" x14ac:dyDescent="0.35">
      <c r="C353" s="24" t="s">
        <v>1815</v>
      </c>
    </row>
    <row r="354" spans="2:5" x14ac:dyDescent="0.35">
      <c r="C354" s="24" t="s">
        <v>1816</v>
      </c>
    </row>
    <row r="355" spans="2:5" x14ac:dyDescent="0.35">
      <c r="B355" s="22" t="s">
        <v>1837</v>
      </c>
      <c r="C355" s="24" t="s">
        <v>1853</v>
      </c>
      <c r="D355" s="24" t="s">
        <v>1294</v>
      </c>
      <c r="E355" s="25" t="s">
        <v>1838</v>
      </c>
    </row>
    <row r="356" spans="2:5" x14ac:dyDescent="0.35">
      <c r="B356" s="22" t="s">
        <v>1837</v>
      </c>
      <c r="C356" s="24" t="s">
        <v>1854</v>
      </c>
      <c r="D356" s="24" t="s">
        <v>1294</v>
      </c>
      <c r="E356" s="25" t="s">
        <v>1838</v>
      </c>
    </row>
    <row r="357" spans="2:5" x14ac:dyDescent="0.35">
      <c r="B357" s="22" t="s">
        <v>1852</v>
      </c>
      <c r="C357" s="24" t="s">
        <v>1855</v>
      </c>
      <c r="D357" s="24" t="s">
        <v>1294</v>
      </c>
      <c r="E357" s="25" t="s">
        <v>1856</v>
      </c>
    </row>
    <row r="358" spans="2:5" x14ac:dyDescent="0.35">
      <c r="B358" s="22" t="s">
        <v>1852</v>
      </c>
      <c r="C358" s="24" t="s">
        <v>1857</v>
      </c>
      <c r="D358" s="24" t="s">
        <v>1294</v>
      </c>
      <c r="E358" s="25" t="s">
        <v>1856</v>
      </c>
    </row>
    <row r="359" spans="2:5" x14ac:dyDescent="0.35">
      <c r="C359" s="24" t="s">
        <v>1866</v>
      </c>
    </row>
    <row r="360" spans="2:5" x14ac:dyDescent="0.35">
      <c r="C360" s="24" t="s">
        <v>1867</v>
      </c>
    </row>
    <row r="361" spans="2:5" x14ac:dyDescent="0.35">
      <c r="B361" s="22" t="s">
        <v>1870</v>
      </c>
      <c r="C361" s="24" t="s">
        <v>1871</v>
      </c>
      <c r="D361" s="24" t="s">
        <v>1294</v>
      </c>
      <c r="E361" s="25" t="s">
        <v>1872</v>
      </c>
    </row>
    <row r="362" spans="2:5" x14ac:dyDescent="0.35">
      <c r="C362" s="24" t="s">
        <v>1881</v>
      </c>
    </row>
    <row r="363" spans="2:5" x14ac:dyDescent="0.35">
      <c r="C363" s="24" t="s">
        <v>1882</v>
      </c>
    </row>
    <row r="364" spans="2:5" x14ac:dyDescent="0.35">
      <c r="C364" s="24" t="s">
        <v>1883</v>
      </c>
    </row>
    <row r="365" spans="2:5" x14ac:dyDescent="0.35">
      <c r="C365" s="24" t="s">
        <v>1884</v>
      </c>
    </row>
    <row r="366" spans="2:5" x14ac:dyDescent="0.35">
      <c r="C366" s="24" t="s">
        <v>1885</v>
      </c>
    </row>
    <row r="367" spans="2:5" x14ac:dyDescent="0.35">
      <c r="B367" s="22" t="s">
        <v>1887</v>
      </c>
      <c r="C367" s="24" t="s">
        <v>1888</v>
      </c>
    </row>
    <row r="368" spans="2:5" x14ac:dyDescent="0.35">
      <c r="C368" s="24" t="s">
        <v>1889</v>
      </c>
    </row>
    <row r="369" spans="2:5" x14ac:dyDescent="0.35">
      <c r="B369" s="22" t="s">
        <v>1898</v>
      </c>
      <c r="C369" s="24" t="s">
        <v>1899</v>
      </c>
      <c r="D369" s="24" t="s">
        <v>1294</v>
      </c>
      <c r="E369" s="25" t="s">
        <v>1900</v>
      </c>
    </row>
    <row r="370" spans="2:5" x14ac:dyDescent="0.35">
      <c r="C370" s="24" t="s">
        <v>1901</v>
      </c>
    </row>
    <row r="371" spans="2:5" x14ac:dyDescent="0.35">
      <c r="B371" s="22" t="s">
        <v>1912</v>
      </c>
      <c r="C371" s="24" t="s">
        <v>1913</v>
      </c>
      <c r="D371" s="24" t="s">
        <v>1294</v>
      </c>
      <c r="E371" s="25" t="s">
        <v>1914</v>
      </c>
    </row>
    <row r="372" spans="2:5" x14ac:dyDescent="0.35">
      <c r="B372" s="22" t="s">
        <v>1915</v>
      </c>
      <c r="C372" s="24" t="s">
        <v>1916</v>
      </c>
      <c r="D372" s="24" t="s">
        <v>1294</v>
      </c>
      <c r="E372" s="25" t="s">
        <v>1917</v>
      </c>
    </row>
    <row r="373" spans="2:5" x14ac:dyDescent="0.35">
      <c r="C373" s="24" t="s">
        <v>1918</v>
      </c>
    </row>
    <row r="374" spans="2:5" x14ac:dyDescent="0.35">
      <c r="C374" s="24" t="s">
        <v>1919</v>
      </c>
    </row>
    <row r="375" spans="2:5" x14ac:dyDescent="0.35">
      <c r="B375" s="22" t="s">
        <v>1915</v>
      </c>
      <c r="C375" s="24" t="s">
        <v>1934</v>
      </c>
      <c r="D375" s="24" t="s">
        <v>1210</v>
      </c>
      <c r="E375" s="25" t="s">
        <v>1935</v>
      </c>
    </row>
    <row r="376" spans="2:5" x14ac:dyDescent="0.35">
      <c r="B376" s="22" t="s">
        <v>1915</v>
      </c>
      <c r="C376" s="24" t="s">
        <v>1936</v>
      </c>
      <c r="D376" s="24" t="s">
        <v>1210</v>
      </c>
      <c r="E376" s="25" t="s">
        <v>1935</v>
      </c>
    </row>
    <row r="377" spans="2:5" x14ac:dyDescent="0.35">
      <c r="C377" s="24" t="s">
        <v>1937</v>
      </c>
      <c r="D377" s="24" t="s">
        <v>1210</v>
      </c>
      <c r="E377" s="25" t="s">
        <v>1935</v>
      </c>
    </row>
    <row r="378" spans="2:5" x14ac:dyDescent="0.35">
      <c r="C378" s="24" t="s">
        <v>1938</v>
      </c>
      <c r="D378" s="24" t="s">
        <v>1210</v>
      </c>
      <c r="E378" s="25" t="s">
        <v>1935</v>
      </c>
    </row>
    <row r="379" spans="2:5" x14ac:dyDescent="0.35">
      <c r="B379" s="22" t="s">
        <v>1947</v>
      </c>
      <c r="C379" s="24" t="s">
        <v>1948</v>
      </c>
      <c r="D379" s="24" t="s">
        <v>1294</v>
      </c>
      <c r="E379" s="25" t="s">
        <v>1378</v>
      </c>
    </row>
    <row r="380" spans="2:5" x14ac:dyDescent="0.35">
      <c r="C380" s="24" t="s">
        <v>1949</v>
      </c>
    </row>
    <row r="381" spans="2:5" x14ac:dyDescent="0.35">
      <c r="C381" s="24" t="s">
        <v>1950</v>
      </c>
    </row>
    <row r="382" spans="2:5" x14ac:dyDescent="0.35">
      <c r="C382" s="24" t="s">
        <v>1951</v>
      </c>
    </row>
    <row r="383" spans="2:5" x14ac:dyDescent="0.35">
      <c r="C383" s="24" t="s">
        <v>1952</v>
      </c>
    </row>
    <row r="384" spans="2:5" x14ac:dyDescent="0.35">
      <c r="C384" s="24" t="s">
        <v>1953</v>
      </c>
    </row>
    <row r="385" spans="2:5" x14ac:dyDescent="0.35">
      <c r="B385" s="22" t="s">
        <v>1957</v>
      </c>
      <c r="C385" s="24" t="s">
        <v>1958</v>
      </c>
      <c r="D385" s="24" t="s">
        <v>1294</v>
      </c>
      <c r="E385" s="25" t="s">
        <v>1384</v>
      </c>
    </row>
    <row r="386" spans="2:5" x14ac:dyDescent="0.35">
      <c r="C386" s="24" t="s">
        <v>1959</v>
      </c>
    </row>
    <row r="387" spans="2:5" x14ac:dyDescent="0.35">
      <c r="C387" s="24" t="s">
        <v>1960</v>
      </c>
    </row>
    <row r="388" spans="2:5" x14ac:dyDescent="0.35">
      <c r="C388" s="24" t="s">
        <v>1961</v>
      </c>
    </row>
    <row r="389" spans="2:5" x14ac:dyDescent="0.35">
      <c r="C389" s="24" t="s">
        <v>1962</v>
      </c>
    </row>
    <row r="390" spans="2:5" x14ac:dyDescent="0.35">
      <c r="C390" s="24" t="s">
        <v>1963</v>
      </c>
    </row>
    <row r="391" spans="2:5" x14ac:dyDescent="0.35">
      <c r="C391" s="24" t="s">
        <v>1964</v>
      </c>
    </row>
    <row r="392" spans="2:5" x14ac:dyDescent="0.35">
      <c r="C392" s="24" t="s">
        <v>1965</v>
      </c>
    </row>
    <row r="393" spans="2:5" x14ac:dyDescent="0.35">
      <c r="C393" s="24" t="s">
        <v>1966</v>
      </c>
    </row>
    <row r="394" spans="2:5" x14ac:dyDescent="0.35">
      <c r="C394" s="24" t="s">
        <v>1967</v>
      </c>
    </row>
    <row r="395" spans="2:5" x14ac:dyDescent="0.35">
      <c r="C395" s="24" t="s">
        <v>1968</v>
      </c>
    </row>
    <row r="396" spans="2:5" x14ac:dyDescent="0.35">
      <c r="B396" s="22" t="s">
        <v>1970</v>
      </c>
      <c r="C396" s="24" t="s">
        <v>1971</v>
      </c>
      <c r="D396" s="24" t="s">
        <v>1294</v>
      </c>
      <c r="E396" s="25" t="s">
        <v>1572</v>
      </c>
    </row>
    <row r="397" spans="2:5" x14ac:dyDescent="0.35">
      <c r="C397" s="24" t="s">
        <v>1972</v>
      </c>
    </row>
    <row r="400" spans="2:5" x14ac:dyDescent="0.35">
      <c r="B400" s="22" t="s">
        <v>1973</v>
      </c>
      <c r="C400" s="24" t="s">
        <v>1974</v>
      </c>
      <c r="D400" s="24" t="s">
        <v>1210</v>
      </c>
      <c r="E400" s="25" t="s">
        <v>1975</v>
      </c>
    </row>
    <row r="402" spans="2:5" x14ac:dyDescent="0.35">
      <c r="B402" s="722" t="s">
        <v>2108</v>
      </c>
      <c r="C402" s="723"/>
      <c r="D402" s="723"/>
      <c r="E402" s="724"/>
    </row>
    <row r="404" spans="2:5" x14ac:dyDescent="0.35">
      <c r="B404" s="725">
        <v>44291</v>
      </c>
      <c r="C404" s="24" t="s">
        <v>2109</v>
      </c>
      <c r="D404" s="24" t="s">
        <v>2110</v>
      </c>
      <c r="E404" s="25" t="s">
        <v>1975</v>
      </c>
    </row>
    <row r="405" spans="2:5" x14ac:dyDescent="0.35">
      <c r="B405" s="725">
        <v>44291</v>
      </c>
      <c r="C405" s="24" t="s">
        <v>2111</v>
      </c>
      <c r="D405" s="24" t="s">
        <v>2110</v>
      </c>
      <c r="E405" s="25" t="s">
        <v>1975</v>
      </c>
    </row>
    <row r="406" spans="2:5" x14ac:dyDescent="0.35">
      <c r="B406" s="725">
        <v>44293</v>
      </c>
      <c r="C406" s="24" t="s">
        <v>2112</v>
      </c>
      <c r="D406" s="24" t="s">
        <v>2110</v>
      </c>
      <c r="E406" s="25" t="s">
        <v>1975</v>
      </c>
    </row>
    <row r="407" spans="2:5" x14ac:dyDescent="0.35">
      <c r="B407" s="725">
        <v>44300</v>
      </c>
      <c r="C407" s="24" t="s">
        <v>2113</v>
      </c>
      <c r="D407" s="24" t="s">
        <v>2110</v>
      </c>
      <c r="E407" s="25" t="s">
        <v>1975</v>
      </c>
    </row>
    <row r="408" spans="2:5" x14ac:dyDescent="0.35">
      <c r="B408" s="725">
        <v>44302</v>
      </c>
      <c r="C408" s="24" t="s">
        <v>2114</v>
      </c>
      <c r="D408" s="24" t="s">
        <v>2110</v>
      </c>
      <c r="E408" s="25" t="s">
        <v>1975</v>
      </c>
    </row>
    <row r="409" spans="2:5" x14ac:dyDescent="0.35">
      <c r="B409" s="725">
        <v>44313</v>
      </c>
      <c r="C409" s="24" t="s">
        <v>2115</v>
      </c>
      <c r="D409" s="24" t="s">
        <v>2110</v>
      </c>
      <c r="E409" s="25" t="s">
        <v>1975</v>
      </c>
    </row>
    <row r="410" spans="2:5" x14ac:dyDescent="0.35">
      <c r="B410" s="725">
        <v>44314</v>
      </c>
      <c r="C410" s="24" t="s">
        <v>2116</v>
      </c>
      <c r="D410" s="24" t="s">
        <v>2110</v>
      </c>
      <c r="E410" s="25" t="s">
        <v>1975</v>
      </c>
    </row>
    <row r="411" spans="2:5" x14ac:dyDescent="0.35">
      <c r="B411" s="725">
        <v>44319</v>
      </c>
      <c r="C411" s="24" t="s">
        <v>2121</v>
      </c>
      <c r="D411" s="24" t="s">
        <v>2110</v>
      </c>
      <c r="E411" s="25" t="s">
        <v>1975</v>
      </c>
    </row>
    <row r="412" spans="2:5" x14ac:dyDescent="0.35">
      <c r="B412" s="725">
        <v>44329</v>
      </c>
      <c r="C412" s="24" t="s">
        <v>2122</v>
      </c>
      <c r="D412" s="24" t="s">
        <v>1294</v>
      </c>
      <c r="E412" s="25" t="s">
        <v>2123</v>
      </c>
    </row>
    <row r="413" spans="2:5" x14ac:dyDescent="0.35">
      <c r="B413" s="725">
        <v>44354</v>
      </c>
      <c r="C413" s="24" t="s">
        <v>2128</v>
      </c>
      <c r="D413" s="24" t="s">
        <v>1294</v>
      </c>
      <c r="E413" s="25" t="s">
        <v>2131</v>
      </c>
    </row>
    <row r="414" spans="2:5" x14ac:dyDescent="0.35">
      <c r="B414" s="725">
        <v>44355</v>
      </c>
      <c r="C414" s="24" t="s">
        <v>2129</v>
      </c>
      <c r="D414" s="24" t="s">
        <v>1294</v>
      </c>
      <c r="E414" s="25" t="s">
        <v>2130</v>
      </c>
    </row>
    <row r="415" spans="2:5" x14ac:dyDescent="0.35">
      <c r="B415" s="725">
        <v>44362</v>
      </c>
      <c r="C415" s="24" t="s">
        <v>2132</v>
      </c>
      <c r="D415" s="24" t="s">
        <v>1294</v>
      </c>
      <c r="E415" s="25" t="s">
        <v>2135</v>
      </c>
    </row>
    <row r="416" spans="2:5" x14ac:dyDescent="0.35">
      <c r="C416" s="24" t="s">
        <v>2133</v>
      </c>
    </row>
    <row r="417" spans="2:5" x14ac:dyDescent="0.35">
      <c r="C417" s="24" t="s">
        <v>2134</v>
      </c>
    </row>
    <row r="418" spans="2:5" x14ac:dyDescent="0.35">
      <c r="B418" s="725">
        <v>44368</v>
      </c>
      <c r="C418" s="24" t="s">
        <v>2136</v>
      </c>
      <c r="D418" s="24" t="s">
        <v>1210</v>
      </c>
      <c r="E418" s="25" t="s">
        <v>2137</v>
      </c>
    </row>
    <row r="419" spans="2:5" x14ac:dyDescent="0.35">
      <c r="C419" s="24" t="s">
        <v>2141</v>
      </c>
    </row>
    <row r="420" spans="2:5" x14ac:dyDescent="0.35">
      <c r="C420" s="24" t="s">
        <v>2142</v>
      </c>
    </row>
    <row r="421" spans="2:5" x14ac:dyDescent="0.35">
      <c r="C421" s="24" t="s">
        <v>2143</v>
      </c>
    </row>
    <row r="422" spans="2:5" x14ac:dyDescent="0.35">
      <c r="C422" s="24" t="s">
        <v>2144</v>
      </c>
    </row>
    <row r="423" spans="2:5" x14ac:dyDescent="0.35">
      <c r="B423" s="725">
        <v>44370</v>
      </c>
      <c r="C423" s="24" t="s">
        <v>2145</v>
      </c>
      <c r="D423" s="24" t="s">
        <v>1294</v>
      </c>
      <c r="E423" s="25" t="s">
        <v>2146</v>
      </c>
    </row>
    <row r="424" spans="2:5" x14ac:dyDescent="0.35">
      <c r="C424" s="24" t="s">
        <v>2147</v>
      </c>
    </row>
    <row r="425" spans="2:5" x14ac:dyDescent="0.35">
      <c r="C425" s="24" t="s">
        <v>2148</v>
      </c>
    </row>
    <row r="426" spans="2:5" x14ac:dyDescent="0.35">
      <c r="B426" s="725">
        <v>44371</v>
      </c>
      <c r="C426" s="24" t="s">
        <v>2149</v>
      </c>
      <c r="D426" s="24" t="s">
        <v>1294</v>
      </c>
      <c r="E426" s="25" t="s">
        <v>2150</v>
      </c>
    </row>
    <row r="427" spans="2:5" x14ac:dyDescent="0.35">
      <c r="C427" s="24" t="s">
        <v>2151</v>
      </c>
    </row>
    <row r="428" spans="2:5" x14ac:dyDescent="0.35">
      <c r="B428" s="725">
        <v>44375</v>
      </c>
      <c r="C428" s="24" t="s">
        <v>2153</v>
      </c>
      <c r="D428" s="24" t="s">
        <v>1210</v>
      </c>
      <c r="E428" s="25" t="s">
        <v>2154</v>
      </c>
    </row>
    <row r="429" spans="2:5" x14ac:dyDescent="0.35">
      <c r="C429" s="24" t="s">
        <v>2155</v>
      </c>
      <c r="D429" s="24" t="s">
        <v>1210</v>
      </c>
      <c r="E429" s="25" t="s">
        <v>2154</v>
      </c>
    </row>
    <row r="430" spans="2:5" x14ac:dyDescent="0.35">
      <c r="C430" s="24" t="s">
        <v>2156</v>
      </c>
      <c r="D430" s="24" t="s">
        <v>1210</v>
      </c>
      <c r="E430" s="25" t="s">
        <v>2154</v>
      </c>
    </row>
    <row r="431" spans="2:5" x14ac:dyDescent="0.35">
      <c r="C431" s="24" t="s">
        <v>2157</v>
      </c>
      <c r="D431" s="24" t="s">
        <v>1210</v>
      </c>
      <c r="E431" s="25" t="s">
        <v>2154</v>
      </c>
    </row>
    <row r="432" spans="2:5" x14ac:dyDescent="0.35">
      <c r="C432" s="24" t="s">
        <v>2158</v>
      </c>
      <c r="D432" s="24" t="s">
        <v>1210</v>
      </c>
      <c r="E432" s="25" t="s">
        <v>2154</v>
      </c>
    </row>
    <row r="433" spans="2:5" x14ac:dyDescent="0.35">
      <c r="C433" s="24" t="s">
        <v>2160</v>
      </c>
      <c r="D433" s="24" t="s">
        <v>1210</v>
      </c>
      <c r="E433" s="25" t="s">
        <v>2154</v>
      </c>
    </row>
    <row r="434" spans="2:5" x14ac:dyDescent="0.35">
      <c r="C434" s="24" t="s">
        <v>2161</v>
      </c>
      <c r="D434" s="24" t="s">
        <v>1210</v>
      </c>
      <c r="E434" s="25" t="s">
        <v>2154</v>
      </c>
    </row>
    <row r="435" spans="2:5" x14ac:dyDescent="0.35">
      <c r="C435" s="24" t="s">
        <v>2162</v>
      </c>
    </row>
    <row r="436" spans="2:5" x14ac:dyDescent="0.35">
      <c r="B436" s="22" t="s">
        <v>2163</v>
      </c>
      <c r="C436" s="24" t="s">
        <v>2164</v>
      </c>
      <c r="D436" s="24" t="s">
        <v>1294</v>
      </c>
      <c r="E436" s="25" t="s">
        <v>2165</v>
      </c>
    </row>
    <row r="437" spans="2:5" x14ac:dyDescent="0.35">
      <c r="B437" s="22" t="s">
        <v>2166</v>
      </c>
      <c r="C437" s="24" t="s">
        <v>2167</v>
      </c>
      <c r="D437" s="24" t="s">
        <v>1294</v>
      </c>
      <c r="E437" s="25" t="s">
        <v>2168</v>
      </c>
    </row>
    <row r="438" spans="2:5" x14ac:dyDescent="0.35">
      <c r="C438" s="24" t="s">
        <v>2170</v>
      </c>
    </row>
    <row r="439" spans="2:5" x14ac:dyDescent="0.35">
      <c r="B439" s="22" t="s">
        <v>2171</v>
      </c>
      <c r="C439" s="24" t="s">
        <v>2172</v>
      </c>
      <c r="D439" s="24" t="s">
        <v>1294</v>
      </c>
      <c r="E439" s="25" t="s">
        <v>2173</v>
      </c>
    </row>
    <row r="440" spans="2:5" x14ac:dyDescent="0.35">
      <c r="C440" s="24" t="s">
        <v>2174</v>
      </c>
    </row>
    <row r="441" spans="2:5" x14ac:dyDescent="0.35">
      <c r="B441" s="22" t="s">
        <v>2176</v>
      </c>
      <c r="C441" s="24" t="s">
        <v>2177</v>
      </c>
      <c r="D441" s="24" t="s">
        <v>1294</v>
      </c>
      <c r="E441" s="25" t="s">
        <v>1935</v>
      </c>
    </row>
    <row r="442" spans="2:5" x14ac:dyDescent="0.35">
      <c r="B442" s="22" t="s">
        <v>2179</v>
      </c>
      <c r="C442" s="24" t="s">
        <v>2180</v>
      </c>
      <c r="D442" s="24" t="s">
        <v>1294</v>
      </c>
      <c r="E442" s="25" t="s">
        <v>2181</v>
      </c>
    </row>
    <row r="443" spans="2:5" x14ac:dyDescent="0.35">
      <c r="C443" s="24" t="s">
        <v>2182</v>
      </c>
    </row>
    <row r="444" spans="2:5" x14ac:dyDescent="0.35">
      <c r="C444" s="24" t="s">
        <v>2183</v>
      </c>
    </row>
    <row r="445" spans="2:5" x14ac:dyDescent="0.35">
      <c r="C445" s="24" t="s">
        <v>2184</v>
      </c>
    </row>
    <row r="446" spans="2:5" x14ac:dyDescent="0.35">
      <c r="C446" s="24" t="s">
        <v>2185</v>
      </c>
    </row>
    <row r="447" spans="2:5" x14ac:dyDescent="0.35">
      <c r="B447" s="22" t="s">
        <v>2186</v>
      </c>
      <c r="C447" s="24" t="s">
        <v>2187</v>
      </c>
      <c r="D447" s="24" t="s">
        <v>1294</v>
      </c>
    </row>
    <row r="448" spans="2:5" x14ac:dyDescent="0.35">
      <c r="B448" s="22" t="s">
        <v>2194</v>
      </c>
      <c r="C448" s="24" t="s">
        <v>2191</v>
      </c>
      <c r="D448" s="24" t="s">
        <v>1294</v>
      </c>
      <c r="E448" s="25" t="s">
        <v>2192</v>
      </c>
    </row>
    <row r="449" spans="2:5" x14ac:dyDescent="0.35">
      <c r="C449" s="24" t="s">
        <v>2193</v>
      </c>
    </row>
    <row r="450" spans="2:5" x14ac:dyDescent="0.35">
      <c r="B450" s="22" t="s">
        <v>2195</v>
      </c>
      <c r="C450" s="24" t="s">
        <v>2196</v>
      </c>
      <c r="D450" s="24" t="s">
        <v>1294</v>
      </c>
      <c r="E450" s="25" t="s">
        <v>2197</v>
      </c>
    </row>
    <row r="451" spans="2:5" x14ac:dyDescent="0.35">
      <c r="B451" s="22" t="s">
        <v>2190</v>
      </c>
      <c r="C451" s="24" t="s">
        <v>2198</v>
      </c>
      <c r="D451" s="24" t="s">
        <v>1294</v>
      </c>
      <c r="E451" s="25" t="s">
        <v>2199</v>
      </c>
    </row>
    <row r="452" spans="2:5" x14ac:dyDescent="0.35">
      <c r="C452" s="24" t="s">
        <v>2200</v>
      </c>
    </row>
    <row r="453" spans="2:5" x14ac:dyDescent="0.35">
      <c r="C453" s="24" t="s">
        <v>2201</v>
      </c>
    </row>
    <row r="454" spans="2:5" x14ac:dyDescent="0.35">
      <c r="C454" s="24" t="s">
        <v>2202</v>
      </c>
    </row>
    <row r="455" spans="2:5" x14ac:dyDescent="0.35">
      <c r="C455" s="24" t="s">
        <v>2203</v>
      </c>
    </row>
    <row r="456" spans="2:5" x14ac:dyDescent="0.35">
      <c r="B456" s="22" t="s">
        <v>2204</v>
      </c>
      <c r="C456" s="24" t="s">
        <v>2205</v>
      </c>
      <c r="D456" s="24" t="s">
        <v>2206</v>
      </c>
      <c r="E456" s="25" t="s">
        <v>2173</v>
      </c>
    </row>
    <row r="457" spans="2:5" x14ac:dyDescent="0.35">
      <c r="B457" s="22" t="s">
        <v>2204</v>
      </c>
      <c r="C457" s="24" t="s">
        <v>2207</v>
      </c>
      <c r="D457" s="24" t="s">
        <v>1294</v>
      </c>
      <c r="E457" s="25" t="s">
        <v>2208</v>
      </c>
    </row>
    <row r="458" spans="2:5" x14ac:dyDescent="0.35">
      <c r="B458" s="22" t="s">
        <v>2210</v>
      </c>
      <c r="C458" s="24" t="s">
        <v>2211</v>
      </c>
      <c r="D458" s="24" t="s">
        <v>1294</v>
      </c>
      <c r="E458" s="25" t="s">
        <v>2212</v>
      </c>
    </row>
    <row r="459" spans="2:5" x14ac:dyDescent="0.35">
      <c r="B459" s="22" t="s">
        <v>2213</v>
      </c>
      <c r="C459" s="24" t="s">
        <v>2214</v>
      </c>
      <c r="D459" s="24" t="s">
        <v>1294</v>
      </c>
      <c r="E459" s="25" t="s">
        <v>2215</v>
      </c>
    </row>
    <row r="460" spans="2:5" x14ac:dyDescent="0.35">
      <c r="C460" s="24" t="s">
        <v>2216</v>
      </c>
    </row>
    <row r="461" spans="2:5" x14ac:dyDescent="0.35">
      <c r="B461" s="22" t="s">
        <v>2217</v>
      </c>
      <c r="C461" s="24" t="s">
        <v>2218</v>
      </c>
      <c r="D461" s="24" t="s">
        <v>1294</v>
      </c>
      <c r="E461" s="25" t="s">
        <v>2219</v>
      </c>
    </row>
    <row r="462" spans="2:5" x14ac:dyDescent="0.35">
      <c r="B462" s="22" t="s">
        <v>2220</v>
      </c>
      <c r="C462" s="24" t="s">
        <v>2221</v>
      </c>
      <c r="D462" s="24" t="s">
        <v>1294</v>
      </c>
      <c r="E462" s="25" t="s">
        <v>2222</v>
      </c>
    </row>
    <row r="463" spans="2:5" x14ac:dyDescent="0.35">
      <c r="B463" s="22" t="s">
        <v>2223</v>
      </c>
      <c r="C463" s="24" t="s">
        <v>2224</v>
      </c>
      <c r="D463" s="24" t="s">
        <v>1294</v>
      </c>
      <c r="E463" s="25" t="s">
        <v>2197</v>
      </c>
    </row>
    <row r="464" spans="2:5" x14ac:dyDescent="0.35">
      <c r="C464" s="24" t="s">
        <v>2225</v>
      </c>
    </row>
    <row r="465" spans="2:5" x14ac:dyDescent="0.35">
      <c r="C465" s="24" t="s">
        <v>2228</v>
      </c>
    </row>
    <row r="466" spans="2:5" x14ac:dyDescent="0.35">
      <c r="B466" s="22" t="s">
        <v>2230</v>
      </c>
      <c r="C466" s="24" t="s">
        <v>2231</v>
      </c>
      <c r="D466" s="24" t="s">
        <v>1294</v>
      </c>
      <c r="E466" s="25" t="s">
        <v>2199</v>
      </c>
    </row>
    <row r="467" spans="2:5" x14ac:dyDescent="0.35">
      <c r="C467" s="24" t="s">
        <v>2232</v>
      </c>
    </row>
    <row r="468" spans="2:5" x14ac:dyDescent="0.35">
      <c r="C468" s="24" t="s">
        <v>2234</v>
      </c>
    </row>
    <row r="469" spans="2:5" x14ac:dyDescent="0.35">
      <c r="C469" s="24" t="s">
        <v>2235</v>
      </c>
    </row>
    <row r="470" spans="2:5" x14ac:dyDescent="0.35">
      <c r="C470" s="24" t="s">
        <v>2240</v>
      </c>
    </row>
    <row r="471" spans="2:5" x14ac:dyDescent="0.35">
      <c r="C471" s="24" t="s">
        <v>2241</v>
      </c>
    </row>
    <row r="472" spans="2:5" x14ac:dyDescent="0.35">
      <c r="B472" s="22" t="s">
        <v>2242</v>
      </c>
      <c r="C472" s="24" t="s">
        <v>2243</v>
      </c>
      <c r="D472" s="24" t="s">
        <v>1294</v>
      </c>
      <c r="E472" s="25" t="s">
        <v>2244</v>
      </c>
    </row>
    <row r="473" spans="2:5" x14ac:dyDescent="0.35">
      <c r="C473" s="24" t="s">
        <v>2245</v>
      </c>
    </row>
    <row r="474" spans="2:5" x14ac:dyDescent="0.35">
      <c r="C474" s="24" t="s">
        <v>2246</v>
      </c>
    </row>
    <row r="475" spans="2:5" x14ac:dyDescent="0.35">
      <c r="C475" s="24" t="s">
        <v>2247</v>
      </c>
    </row>
    <row r="476" spans="2:5" x14ac:dyDescent="0.35">
      <c r="C476" s="24" t="s">
        <v>2248</v>
      </c>
    </row>
    <row r="477" spans="2:5" x14ac:dyDescent="0.35">
      <c r="B477" s="22" t="s">
        <v>2249</v>
      </c>
      <c r="C477" s="24" t="s">
        <v>2250</v>
      </c>
      <c r="D477" s="24" t="s">
        <v>1294</v>
      </c>
      <c r="E477" s="25" t="s">
        <v>2251</v>
      </c>
    </row>
    <row r="478" spans="2:5" x14ac:dyDescent="0.35">
      <c r="C478" s="24" t="s">
        <v>2252</v>
      </c>
    </row>
    <row r="479" spans="2:5" x14ac:dyDescent="0.35">
      <c r="B479" s="22" t="s">
        <v>2256</v>
      </c>
      <c r="C479" s="24" t="s">
        <v>2257</v>
      </c>
      <c r="D479" s="24" t="s">
        <v>1210</v>
      </c>
      <c r="E479" s="25" t="s">
        <v>2261</v>
      </c>
    </row>
    <row r="480" spans="2:5" x14ac:dyDescent="0.35">
      <c r="C480" s="24" t="s">
        <v>2258</v>
      </c>
    </row>
    <row r="481" spans="2:5" x14ac:dyDescent="0.35">
      <c r="C481" s="24" t="s">
        <v>2259</v>
      </c>
    </row>
    <row r="482" spans="2:5" ht="31" x14ac:dyDescent="0.35">
      <c r="B482" s="22" t="s">
        <v>2260</v>
      </c>
      <c r="C482" s="784" t="s">
        <v>2264</v>
      </c>
      <c r="D482" s="24" t="s">
        <v>1210</v>
      </c>
      <c r="E482" s="25" t="s">
        <v>2262</v>
      </c>
    </row>
    <row r="483" spans="2:5" x14ac:dyDescent="0.35">
      <c r="C483" s="24" t="s">
        <v>2263</v>
      </c>
    </row>
    <row r="484" spans="2:5" x14ac:dyDescent="0.35">
      <c r="C484" s="24" t="s">
        <v>2265</v>
      </c>
    </row>
    <row r="486" spans="2:5" x14ac:dyDescent="0.35">
      <c r="B486" s="22" t="s">
        <v>2267</v>
      </c>
      <c r="C486" s="24" t="s">
        <v>2268</v>
      </c>
      <c r="D486" s="24" t="s">
        <v>1210</v>
      </c>
      <c r="E486" s="25" t="s">
        <v>2269</v>
      </c>
    </row>
    <row r="488" spans="2:5" x14ac:dyDescent="0.35">
      <c r="B488" s="785">
        <v>45197</v>
      </c>
      <c r="C488" s="24" t="s">
        <v>2270</v>
      </c>
      <c r="D488" s="24" t="s">
        <v>2271</v>
      </c>
      <c r="E488" s="25" t="s">
        <v>2269</v>
      </c>
    </row>
    <row r="489" spans="2:5" x14ac:dyDescent="0.35">
      <c r="B489" s="24"/>
      <c r="C489" s="24" t="s">
        <v>2272</v>
      </c>
    </row>
    <row r="491" spans="2:5" x14ac:dyDescent="0.35">
      <c r="B491" s="22" t="s">
        <v>2273</v>
      </c>
      <c r="C491" s="945" t="s">
        <v>2274</v>
      </c>
    </row>
    <row r="492" spans="2:5" x14ac:dyDescent="0.35">
      <c r="C492" s="24" t="s">
        <v>2275</v>
      </c>
    </row>
    <row r="493" spans="2:5" x14ac:dyDescent="0.35">
      <c r="C493" s="24" t="s">
        <v>2276</v>
      </c>
    </row>
    <row r="494" spans="2:5" x14ac:dyDescent="0.35">
      <c r="C494" s="24" t="s">
        <v>2277</v>
      </c>
    </row>
    <row r="495" spans="2:5" x14ac:dyDescent="0.35">
      <c r="C495" s="24" t="s">
        <v>2278</v>
      </c>
    </row>
    <row r="496" spans="2:5" x14ac:dyDescent="0.35">
      <c r="C496" s="24" t="s">
        <v>2279</v>
      </c>
    </row>
    <row r="497" spans="2:5" x14ac:dyDescent="0.35">
      <c r="C497" s="24" t="s">
        <v>2280</v>
      </c>
    </row>
    <row r="498" spans="2:5" x14ac:dyDescent="0.35">
      <c r="C498" s="24" t="s">
        <v>2281</v>
      </c>
    </row>
    <row r="499" spans="2:5" x14ac:dyDescent="0.35">
      <c r="C499" s="24" t="s">
        <v>2282</v>
      </c>
    </row>
    <row r="500" spans="2:5" x14ac:dyDescent="0.35">
      <c r="C500" s="24" t="s">
        <v>2283</v>
      </c>
    </row>
    <row r="501" spans="2:5" x14ac:dyDescent="0.35">
      <c r="C501" s="24" t="s">
        <v>2284</v>
      </c>
    </row>
    <row r="502" spans="2:5" x14ac:dyDescent="0.35">
      <c r="C502" s="24" t="s">
        <v>2285</v>
      </c>
      <c r="D502" s="24" t="s">
        <v>2286</v>
      </c>
      <c r="E502" s="25" t="s">
        <v>2287</v>
      </c>
    </row>
    <row r="504" spans="2:5" ht="18" x14ac:dyDescent="0.4">
      <c r="B504" s="22" t="s">
        <v>2300</v>
      </c>
      <c r="C504" s="975" t="s">
        <v>2274</v>
      </c>
    </row>
    <row r="505" spans="2:5" x14ac:dyDescent="0.35">
      <c r="C505" s="24" t="s">
        <v>2288</v>
      </c>
    </row>
    <row r="506" spans="2:5" x14ac:dyDescent="0.35">
      <c r="C506" s="945" t="s">
        <v>2289</v>
      </c>
    </row>
    <row r="507" spans="2:5" x14ac:dyDescent="0.35">
      <c r="C507" s="24" t="s">
        <v>2290</v>
      </c>
    </row>
    <row r="508" spans="2:5" x14ac:dyDescent="0.35">
      <c r="C508" s="24" t="s">
        <v>2292</v>
      </c>
    </row>
    <row r="509" spans="2:5" x14ac:dyDescent="0.35">
      <c r="C509" s="24" t="s">
        <v>2293</v>
      </c>
    </row>
    <row r="510" spans="2:5" x14ac:dyDescent="0.35">
      <c r="C510" s="24" t="s">
        <v>2294</v>
      </c>
    </row>
    <row r="511" spans="2:5" x14ac:dyDescent="0.35">
      <c r="C511" s="24" t="s">
        <v>2295</v>
      </c>
    </row>
    <row r="512" spans="2:5" x14ac:dyDescent="0.35">
      <c r="C512" s="24" t="s">
        <v>2296</v>
      </c>
    </row>
    <row r="513" spans="2:5" x14ac:dyDescent="0.35">
      <c r="C513" s="24" t="s">
        <v>2291</v>
      </c>
    </row>
    <row r="514" spans="2:5" x14ac:dyDescent="0.35">
      <c r="C514" s="945" t="s">
        <v>2298</v>
      </c>
    </row>
    <row r="515" spans="2:5" x14ac:dyDescent="0.35">
      <c r="C515" s="24" t="s">
        <v>2299</v>
      </c>
    </row>
    <row r="516" spans="2:5" x14ac:dyDescent="0.35">
      <c r="C516" s="24" t="s">
        <v>2312</v>
      </c>
      <c r="D516" s="24" t="s">
        <v>2286</v>
      </c>
      <c r="E516" s="25" t="s">
        <v>2313</v>
      </c>
    </row>
    <row r="518" spans="2:5" ht="18" x14ac:dyDescent="0.4">
      <c r="B518" s="22" t="s">
        <v>2314</v>
      </c>
      <c r="C518" s="975" t="s">
        <v>2274</v>
      </c>
    </row>
    <row r="519" spans="2:5" x14ac:dyDescent="0.35">
      <c r="C519" s="945" t="s">
        <v>2315</v>
      </c>
    </row>
    <row r="520" spans="2:5" x14ac:dyDescent="0.35">
      <c r="C520" s="24" t="s">
        <v>2317</v>
      </c>
    </row>
    <row r="521" spans="2:5" x14ac:dyDescent="0.35">
      <c r="C521" s="24" t="s">
        <v>2318</v>
      </c>
      <c r="D521" s="24" t="s">
        <v>2286</v>
      </c>
      <c r="E521" s="25" t="s">
        <v>2319</v>
      </c>
    </row>
    <row r="523" spans="2:5" ht="18" x14ac:dyDescent="0.4">
      <c r="B523" s="22" t="s">
        <v>2323</v>
      </c>
      <c r="C523" s="975" t="s">
        <v>2274</v>
      </c>
    </row>
    <row r="524" spans="2:5" x14ac:dyDescent="0.35">
      <c r="C524" s="24" t="s">
        <v>2321</v>
      </c>
    </row>
    <row r="525" spans="2:5" x14ac:dyDescent="0.35">
      <c r="C525" s="24" t="s">
        <v>2322</v>
      </c>
    </row>
    <row r="526" spans="2:5" x14ac:dyDescent="0.35">
      <c r="C526" s="24" t="s">
        <v>2326</v>
      </c>
    </row>
    <row r="527" spans="2:5" x14ac:dyDescent="0.35">
      <c r="C527" s="24" t="s">
        <v>2324</v>
      </c>
    </row>
    <row r="528" spans="2:5" x14ac:dyDescent="0.35">
      <c r="C528" s="24" t="s">
        <v>2327</v>
      </c>
    </row>
    <row r="529" spans="2:5" x14ac:dyDescent="0.35">
      <c r="C529" s="24" t="s">
        <v>2328</v>
      </c>
    </row>
    <row r="530" spans="2:5" x14ac:dyDescent="0.35">
      <c r="C530" s="24" t="s">
        <v>2329</v>
      </c>
      <c r="D530" s="24" t="s">
        <v>2286</v>
      </c>
      <c r="E530" s="25" t="s">
        <v>2325</v>
      </c>
    </row>
    <row r="532" spans="2:5" x14ac:dyDescent="0.35">
      <c r="B532" s="22" t="s">
        <v>2330</v>
      </c>
      <c r="C532" s="24" t="s">
        <v>2331</v>
      </c>
      <c r="D532" s="24" t="s">
        <v>1210</v>
      </c>
      <c r="E532" s="25" t="s">
        <v>2332</v>
      </c>
    </row>
    <row r="534" spans="2:5" x14ac:dyDescent="0.35">
      <c r="B534" s="22" t="s">
        <v>2341</v>
      </c>
      <c r="C534" s="24" t="s">
        <v>2342</v>
      </c>
      <c r="D534" s="24" t="s">
        <v>2286</v>
      </c>
      <c r="E534" s="25" t="s">
        <v>2269</v>
      </c>
    </row>
    <row r="536" spans="2:5" x14ac:dyDescent="0.35">
      <c r="B536" s="22" t="s">
        <v>2345</v>
      </c>
      <c r="C536" s="24" t="s">
        <v>2346</v>
      </c>
      <c r="D536" s="24" t="s">
        <v>1210</v>
      </c>
      <c r="E536" s="25" t="s">
        <v>2347</v>
      </c>
    </row>
    <row r="537" spans="2:5" x14ac:dyDescent="0.35">
      <c r="C537" s="24" t="s">
        <v>2348</v>
      </c>
    </row>
    <row r="538" spans="2:5" x14ac:dyDescent="0.35">
      <c r="C538" s="24" t="s">
        <v>2352</v>
      </c>
    </row>
    <row r="540" spans="2:5" x14ac:dyDescent="0.35">
      <c r="B540" s="22" t="s">
        <v>2356</v>
      </c>
      <c r="C540" s="24" t="s">
        <v>2342</v>
      </c>
      <c r="D540" s="24" t="s">
        <v>2286</v>
      </c>
      <c r="E540" s="25" t="s">
        <v>2357</v>
      </c>
    </row>
  </sheetData>
  <customSheetViews>
    <customSheetView guid="{BE55F258-44BC-4FB6-88BE-39351DF10384}" state="hidden">
      <pane ySplit="7" topLeftCell="A26" activePane="bottomLeft" state="frozen"/>
      <selection pane="bottomLeft" activeCell="B48" sqref="B48"/>
      <pageMargins left="0.7" right="0.7" top="0.75" bottom="0.75" header="0.3" footer="0.3"/>
      <pageSetup orientation="portrait" r:id="rId1"/>
    </customSheetView>
  </customSheetView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B050"/>
    <pageSetUpPr fitToPage="1"/>
  </sheetPr>
  <dimension ref="A1:IU56"/>
  <sheetViews>
    <sheetView showGridLines="0" zoomScaleNormal="100" zoomScalePageLayoutView="85" workbookViewId="0">
      <selection sqref="A1:F1"/>
    </sheetView>
  </sheetViews>
  <sheetFormatPr defaultColWidth="0" defaultRowHeight="14.15" customHeight="1" zeroHeight="1" outlineLevelCol="1" x14ac:dyDescent="0.3"/>
  <cols>
    <col min="1" max="1" width="14.54296875" style="2" customWidth="1"/>
    <col min="2" max="4" width="13.54296875" style="2" customWidth="1"/>
    <col min="5" max="5" width="13.81640625" style="2" customWidth="1"/>
    <col min="6" max="6" width="13.54296875" style="2" customWidth="1"/>
    <col min="7" max="7" width="1.54296875" style="2" customWidth="1"/>
    <col min="8" max="8" width="15.81640625" style="2" bestFit="1" customWidth="1"/>
    <col min="9" max="12" width="13.54296875" style="2" customWidth="1"/>
    <col min="13" max="13" width="4.453125" style="2" customWidth="1"/>
    <col min="14" max="14" width="9.1796875" style="2" hidden="1" customWidth="1" outlineLevel="1"/>
    <col min="15" max="15" width="9.1796875" style="2" hidden="1" customWidth="1" collapsed="1"/>
    <col min="16" max="255" width="9.1796875" style="2" hidden="1" customWidth="1"/>
    <col min="256" max="16384" width="8.7265625" style="2" hidden="1"/>
  </cols>
  <sheetData>
    <row r="1" spans="1:13" ht="60" customHeight="1" x14ac:dyDescent="0.6">
      <c r="A1" s="1022" t="str">
        <f>Development!B4&amp;" "&amp;Development!B2</f>
        <v>2024 Commercial Efficiency Program</v>
      </c>
      <c r="B1" s="1022"/>
      <c r="C1" s="1022"/>
      <c r="D1" s="1022"/>
      <c r="E1" s="1022"/>
      <c r="F1" s="1022"/>
      <c r="G1" s="786"/>
      <c r="H1" s="835"/>
      <c r="I1" s="837"/>
      <c r="J1" s="837"/>
      <c r="K1" s="790"/>
      <c r="L1" s="790"/>
      <c r="M1" s="638"/>
    </row>
    <row r="2" spans="1:13" s="628" customFormat="1" ht="60" customHeight="1" thickBot="1" x14ac:dyDescent="0.35">
      <c r="A2" s="1023" t="str">
        <f>"     "&amp;" HVAC Rebate Application, Version"&amp;" "&amp;Development!B5</f>
        <v xml:space="preserve">      HVAC Rebate Application, Version 2.0</v>
      </c>
      <c r="B2" s="1023"/>
      <c r="C2" s="1023"/>
      <c r="D2" s="1023"/>
      <c r="E2" s="1023"/>
      <c r="F2" s="1023"/>
      <c r="G2" s="788"/>
      <c r="H2" s="836"/>
      <c r="I2" s="836"/>
      <c r="J2" s="836"/>
      <c r="K2" s="792"/>
      <c r="L2" s="791"/>
      <c r="M2" s="793"/>
    </row>
    <row r="3" spans="1:13" ht="40" customHeight="1" thickTop="1" x14ac:dyDescent="0.3">
      <c r="A3" s="1000" t="s">
        <v>968</v>
      </c>
      <c r="B3" s="1000"/>
      <c r="C3" s="1000"/>
      <c r="D3" s="1000"/>
      <c r="E3" s="1000"/>
      <c r="F3" s="1000"/>
      <c r="G3" s="1000"/>
      <c r="H3" s="1000"/>
      <c r="I3" s="1000"/>
      <c r="J3" s="1000"/>
      <c r="K3" s="1000"/>
      <c r="L3" s="1000"/>
    </row>
    <row r="4" spans="1:13" s="360" customFormat="1" ht="27" customHeight="1" thickBot="1" x14ac:dyDescent="0.45">
      <c r="A4" s="1001" t="s">
        <v>969</v>
      </c>
      <c r="B4" s="1001"/>
      <c r="C4" s="1001"/>
      <c r="D4" s="1001"/>
      <c r="E4" s="1001"/>
      <c r="F4" s="1001"/>
      <c r="G4" s="1001"/>
      <c r="H4" s="1001"/>
      <c r="I4" s="1001"/>
      <c r="J4" s="1001"/>
      <c r="K4" s="1001"/>
      <c r="L4" s="1001"/>
    </row>
    <row r="5" spans="1:13" ht="28" customHeight="1" x14ac:dyDescent="0.4">
      <c r="A5" s="1002" t="s">
        <v>970</v>
      </c>
      <c r="B5" s="1002"/>
      <c r="C5" s="1003"/>
      <c r="D5" s="1003"/>
      <c r="E5" s="1003"/>
      <c r="F5" s="1003"/>
      <c r="J5" s="361" t="s">
        <v>971</v>
      </c>
      <c r="K5" s="1003"/>
      <c r="L5" s="1003"/>
    </row>
    <row r="6" spans="1:13" ht="28" customHeight="1" x14ac:dyDescent="0.4">
      <c r="A6" s="1002" t="s">
        <v>972</v>
      </c>
      <c r="B6" s="1002"/>
      <c r="C6" s="1006"/>
      <c r="D6" s="1006"/>
      <c r="E6" s="1006"/>
      <c r="F6" s="1006"/>
      <c r="J6" s="361" t="s">
        <v>973</v>
      </c>
      <c r="K6" s="1003"/>
      <c r="L6" s="1003"/>
    </row>
    <row r="7" spans="1:13" ht="28" customHeight="1" x14ac:dyDescent="0.4">
      <c r="A7" s="1002" t="s">
        <v>974</v>
      </c>
      <c r="B7" s="1002"/>
      <c r="C7" s="1006"/>
      <c r="D7" s="1006"/>
      <c r="E7" s="1006"/>
      <c r="F7" s="1006"/>
      <c r="H7" s="361" t="s">
        <v>975</v>
      </c>
      <c r="I7" s="1003"/>
      <c r="J7" s="1003"/>
      <c r="K7" s="361" t="s">
        <v>976</v>
      </c>
      <c r="L7" s="311"/>
    </row>
    <row r="8" spans="1:13" ht="28" customHeight="1" x14ac:dyDescent="0.4">
      <c r="A8" s="1004" t="s">
        <v>977</v>
      </c>
      <c r="B8" s="1005"/>
      <c r="C8" s="1006"/>
      <c r="D8" s="1006"/>
      <c r="E8" s="1006"/>
      <c r="F8" s="1006"/>
      <c r="H8" s="361" t="s">
        <v>975</v>
      </c>
      <c r="I8" s="1006"/>
      <c r="J8" s="1006"/>
      <c r="K8" s="361" t="s">
        <v>976</v>
      </c>
      <c r="L8" s="311"/>
    </row>
    <row r="9" spans="1:13" ht="28" customHeight="1" x14ac:dyDescent="0.4">
      <c r="A9" s="1002" t="s">
        <v>978</v>
      </c>
      <c r="B9" s="1002"/>
      <c r="C9" s="1006"/>
      <c r="D9" s="1006"/>
      <c r="E9" s="1006"/>
      <c r="F9" s="1006"/>
      <c r="I9" s="1013" t="s">
        <v>979</v>
      </c>
      <c r="J9" s="1013"/>
      <c r="K9" s="1014"/>
      <c r="L9" s="1014"/>
    </row>
    <row r="10" spans="1:13" ht="28" customHeight="1" x14ac:dyDescent="0.4">
      <c r="A10" s="1002" t="s">
        <v>980</v>
      </c>
      <c r="B10" s="1002"/>
      <c r="C10" s="1006"/>
      <c r="D10" s="1006"/>
      <c r="E10" s="1006"/>
      <c r="F10" s="1006"/>
      <c r="I10" s="1010" t="s">
        <v>981</v>
      </c>
      <c r="J10" s="1010"/>
      <c r="K10" s="1014"/>
      <c r="L10" s="1014"/>
    </row>
    <row r="11" spans="1:13" ht="28" customHeight="1" x14ac:dyDescent="0.45">
      <c r="A11" s="1002" t="s">
        <v>982</v>
      </c>
      <c r="B11" s="1002"/>
      <c r="C11" s="1029"/>
      <c r="D11" s="1006"/>
      <c r="E11" s="1006"/>
      <c r="F11" s="1006"/>
      <c r="I11" s="1010" t="s">
        <v>983</v>
      </c>
      <c r="J11" s="1010"/>
      <c r="K11" s="1014"/>
      <c r="L11" s="1014"/>
    </row>
    <row r="12" spans="1:13" s="277" customFormat="1" ht="14" x14ac:dyDescent="0.3">
      <c r="A12" s="362"/>
      <c r="B12" s="362"/>
    </row>
    <row r="13" spans="1:13" ht="23.5" customHeight="1" x14ac:dyDescent="0.4">
      <c r="A13" s="1002" t="s">
        <v>984</v>
      </c>
      <c r="B13" s="1002"/>
      <c r="C13" s="1012" t="s">
        <v>1921</v>
      </c>
      <c r="D13" s="1012"/>
      <c r="E13" s="1012"/>
      <c r="F13" s="1012"/>
      <c r="J13" s="1009" t="s">
        <v>985</v>
      </c>
      <c r="K13" s="1010"/>
      <c r="L13" s="316"/>
    </row>
    <row r="14" spans="1:13" ht="15.75" customHeight="1" x14ac:dyDescent="0.3"/>
    <row r="15" spans="1:13" ht="9" customHeight="1" x14ac:dyDescent="0.3">
      <c r="A15" s="1011"/>
      <c r="B15" s="1011"/>
      <c r="C15" s="1011"/>
      <c r="D15" s="1011"/>
      <c r="E15" s="1011"/>
      <c r="F15" s="1011"/>
      <c r="G15" s="1011"/>
      <c r="H15" s="1011"/>
      <c r="I15" s="1011"/>
      <c r="J15" s="1011"/>
      <c r="K15" s="1011"/>
      <c r="L15" s="1011"/>
    </row>
    <row r="16" spans="1:13" ht="25" customHeight="1" x14ac:dyDescent="0.4">
      <c r="A16" s="1030" t="s">
        <v>906</v>
      </c>
      <c r="B16" s="1030"/>
      <c r="C16" s="1007" t="s">
        <v>2178</v>
      </c>
      <c r="D16" s="1007"/>
      <c r="E16" s="1007"/>
      <c r="F16" s="1007"/>
      <c r="G16"/>
      <c r="H16"/>
      <c r="I16"/>
      <c r="J16"/>
      <c r="K16"/>
      <c r="L16"/>
    </row>
    <row r="17" spans="1:12" ht="25" customHeight="1" x14ac:dyDescent="0.35">
      <c r="A17" s="1030"/>
      <c r="B17" s="1030"/>
      <c r="C17"/>
      <c r="D17"/>
      <c r="E17"/>
      <c r="F17"/>
      <c r="G17"/>
      <c r="H17"/>
      <c r="I17"/>
      <c r="J17"/>
      <c r="K17"/>
      <c r="L17"/>
    </row>
    <row r="18" spans="1:12" ht="25.4" customHeight="1" x14ac:dyDescent="0.4">
      <c r="A18" s="363" t="s">
        <v>994</v>
      </c>
      <c r="B18" s="364"/>
      <c r="C18" s="1008" t="s">
        <v>1921</v>
      </c>
      <c r="D18" s="1008"/>
      <c r="E18" s="1008"/>
    </row>
    <row r="19" spans="1:12" ht="25.4" customHeight="1" x14ac:dyDescent="0.4">
      <c r="A19" s="363"/>
      <c r="B19" s="364"/>
      <c r="C19" s="779"/>
      <c r="D19" s="779"/>
      <c r="E19" s="779"/>
    </row>
    <row r="20" spans="1:12" ht="25.4" customHeight="1" x14ac:dyDescent="0.4">
      <c r="A20" s="1004" t="s">
        <v>2237</v>
      </c>
      <c r="B20" s="1004"/>
      <c r="C20" s="1008" t="s">
        <v>1921</v>
      </c>
      <c r="D20" s="1008"/>
      <c r="E20" s="1008"/>
    </row>
    <row r="21" spans="1:12" ht="25.4" customHeight="1" x14ac:dyDescent="0.4">
      <c r="A21" s="363"/>
      <c r="B21" s="364"/>
      <c r="C21" s="779"/>
      <c r="D21" s="779"/>
      <c r="E21" s="779"/>
    </row>
    <row r="22" spans="1:12" ht="17.5" customHeight="1" thickBot="1" x14ac:dyDescent="0.45">
      <c r="A22" s="1027" t="s">
        <v>986</v>
      </c>
      <c r="B22" s="1027"/>
      <c r="C22" s="1027"/>
      <c r="D22" s="1027"/>
      <c r="E22" s="1027"/>
      <c r="F22" s="1027"/>
      <c r="G22" s="1027"/>
      <c r="H22" s="1027"/>
      <c r="I22" s="1027"/>
      <c r="J22" s="1027"/>
      <c r="K22" s="1027"/>
      <c r="L22" s="1027"/>
    </row>
    <row r="23" spans="1:12" ht="23.25" customHeight="1" x14ac:dyDescent="0.4">
      <c r="A23" s="1002" t="s">
        <v>987</v>
      </c>
      <c r="B23" s="1002"/>
      <c r="C23" s="1003"/>
      <c r="D23" s="1003"/>
      <c r="E23" s="1003"/>
      <c r="F23" s="1003"/>
      <c r="G23" s="365"/>
      <c r="H23" s="365"/>
      <c r="I23" s="1028"/>
      <c r="J23" s="1028"/>
      <c r="K23" s="1028"/>
      <c r="L23" s="780"/>
    </row>
    <row r="24" spans="1:12" ht="23.25" customHeight="1" x14ac:dyDescent="0.4">
      <c r="A24" s="1002" t="s">
        <v>988</v>
      </c>
      <c r="B24" s="1002"/>
      <c r="C24" s="1006"/>
      <c r="D24" s="1006"/>
      <c r="E24" s="1006"/>
      <c r="F24" s="1006"/>
      <c r="H24" s="366" t="s">
        <v>975</v>
      </c>
      <c r="I24" s="1003"/>
      <c r="J24" s="1003"/>
      <c r="K24" s="361" t="s">
        <v>976</v>
      </c>
      <c r="L24" s="311"/>
    </row>
    <row r="25" spans="1:12" ht="23.25" customHeight="1" x14ac:dyDescent="0.4">
      <c r="A25" s="1002" t="s">
        <v>980</v>
      </c>
      <c r="B25" s="1002"/>
      <c r="C25" s="1006"/>
      <c r="D25" s="1006"/>
      <c r="E25" s="1006"/>
      <c r="F25" s="1006"/>
      <c r="H25" s="367" t="s">
        <v>979</v>
      </c>
      <c r="I25" s="1014"/>
      <c r="J25" s="1014"/>
      <c r="K25" s="1014"/>
      <c r="L25" s="1014"/>
    </row>
    <row r="26" spans="1:12" ht="23.25" customHeight="1" x14ac:dyDescent="0.4">
      <c r="A26" s="1002" t="s">
        <v>973</v>
      </c>
      <c r="B26" s="1002"/>
      <c r="C26" s="1006"/>
      <c r="D26" s="1006"/>
      <c r="E26" s="1006"/>
      <c r="F26" s="1006"/>
      <c r="H26" s="366" t="s">
        <v>981</v>
      </c>
      <c r="I26" s="1020"/>
      <c r="J26" s="1020"/>
      <c r="K26" s="1020"/>
      <c r="L26" s="1020"/>
    </row>
    <row r="27" spans="1:12" ht="23.25" customHeight="1" x14ac:dyDescent="0.4">
      <c r="A27" s="1002" t="s">
        <v>982</v>
      </c>
      <c r="B27" s="1002"/>
      <c r="C27" s="1006"/>
      <c r="D27" s="1006"/>
      <c r="E27" s="1006"/>
      <c r="F27" s="1006"/>
      <c r="H27" s="366" t="s">
        <v>983</v>
      </c>
      <c r="I27" s="1020"/>
      <c r="J27" s="1020"/>
      <c r="K27" s="1020"/>
      <c r="L27" s="1020"/>
    </row>
    <row r="28" spans="1:12" ht="7.5" customHeight="1" x14ac:dyDescent="0.3"/>
    <row r="29" spans="1:12" ht="18.5" thickBot="1" x14ac:dyDescent="0.45">
      <c r="A29" s="1021" t="s">
        <v>38</v>
      </c>
      <c r="B29" s="1021"/>
      <c r="C29" s="1021"/>
      <c r="D29" s="1021"/>
      <c r="E29" s="1021"/>
      <c r="F29" s="1021"/>
      <c r="G29" s="1021"/>
      <c r="H29" s="1021"/>
      <c r="I29" s="1021"/>
      <c r="J29" s="1021"/>
      <c r="K29" s="1021"/>
      <c r="L29" s="1021"/>
    </row>
    <row r="30" spans="1:12" ht="22.75" customHeight="1" x14ac:dyDescent="0.4">
      <c r="A30" s="1002" t="s">
        <v>989</v>
      </c>
      <c r="B30" s="1002"/>
      <c r="C30" s="1002"/>
      <c r="D30" s="1002"/>
      <c r="E30" s="1002"/>
      <c r="F30" s="1002"/>
      <c r="G30" s="1026" t="s">
        <v>990</v>
      </c>
      <c r="H30" s="1026"/>
      <c r="I30" s="1026"/>
      <c r="J30" s="1026"/>
      <c r="K30" s="1026"/>
      <c r="L30" s="1026"/>
    </row>
    <row r="31" spans="1:12" ht="39" customHeight="1" x14ac:dyDescent="0.3">
      <c r="A31" s="1019" t="s">
        <v>1225</v>
      </c>
      <c r="B31" s="1019"/>
      <c r="C31" s="1019"/>
      <c r="D31" s="1019"/>
      <c r="E31" s="1019"/>
      <c r="F31" s="1019"/>
      <c r="G31" s="1019"/>
      <c r="H31" s="1019"/>
      <c r="I31" s="1019"/>
      <c r="J31" s="1019"/>
      <c r="K31" s="1019"/>
      <c r="L31" s="1019"/>
    </row>
    <row r="32" spans="1:12" ht="3" customHeight="1" x14ac:dyDescent="0.3">
      <c r="A32" s="368"/>
      <c r="B32" s="368"/>
      <c r="C32" s="368"/>
      <c r="D32" s="368"/>
      <c r="E32" s="368"/>
      <c r="F32" s="368"/>
      <c r="G32" s="369"/>
      <c r="H32" s="369"/>
      <c r="I32" s="369"/>
      <c r="J32" s="369"/>
      <c r="K32" s="369"/>
      <c r="L32" s="369"/>
    </row>
    <row r="33" spans="1:13" ht="153" customHeight="1" x14ac:dyDescent="0.3">
      <c r="A33" s="1024" t="s">
        <v>991</v>
      </c>
      <c r="B33" s="1025"/>
      <c r="C33" s="1025"/>
      <c r="D33" s="1025"/>
      <c r="E33" s="1025"/>
      <c r="F33" s="1025"/>
      <c r="G33" s="1025"/>
      <c r="H33" s="1025"/>
      <c r="I33" s="1025"/>
      <c r="J33" s="1025"/>
      <c r="K33" s="1025"/>
      <c r="L33" s="1025"/>
    </row>
    <row r="34" spans="1:13" ht="30" customHeight="1" x14ac:dyDescent="0.4">
      <c r="A34" s="1015" t="s">
        <v>992</v>
      </c>
      <c r="B34" s="1011"/>
      <c r="C34" s="1008"/>
      <c r="D34" s="1008"/>
      <c r="E34" s="1008"/>
      <c r="F34" s="1008"/>
      <c r="G34" s="1008"/>
      <c r="H34" s="1008"/>
      <c r="I34" s="1008"/>
    </row>
    <row r="35" spans="1:13" ht="5.5" customHeight="1" x14ac:dyDescent="0.3">
      <c r="A35" s="271"/>
      <c r="B35" s="368"/>
      <c r="C35" s="369"/>
      <c r="D35" s="369"/>
      <c r="E35" s="369"/>
      <c r="F35" s="369"/>
      <c r="G35" s="369"/>
      <c r="H35" s="369"/>
      <c r="I35" s="369"/>
    </row>
    <row r="36" spans="1:13" ht="34.5" customHeight="1" x14ac:dyDescent="0.4">
      <c r="A36" s="1015" t="s">
        <v>993</v>
      </c>
      <c r="B36" s="1011"/>
      <c r="C36" s="1016"/>
      <c r="D36" s="1016"/>
      <c r="E36" s="1016"/>
      <c r="F36" s="1016"/>
      <c r="G36" s="1016"/>
      <c r="H36" s="1016"/>
      <c r="I36" s="1016"/>
      <c r="J36" s="367" t="s">
        <v>905</v>
      </c>
      <c r="K36" s="1017"/>
      <c r="L36" s="1018"/>
      <c r="M36" s="638"/>
    </row>
    <row r="37" spans="1:13" ht="15" customHeight="1" x14ac:dyDescent="0.3">
      <c r="A37" s="271"/>
      <c r="B37" s="271"/>
      <c r="J37" s="367"/>
      <c r="K37" s="370"/>
      <c r="L37" s="370"/>
    </row>
    <row r="38" spans="1:13" ht="16.399999999999999" customHeight="1" x14ac:dyDescent="0.3">
      <c r="A38" s="371"/>
      <c r="B38" s="372"/>
      <c r="C38" s="372"/>
      <c r="D38" s="373"/>
      <c r="E38" s="373"/>
      <c r="F38" s="373"/>
      <c r="I38" s="372"/>
      <c r="J38" s="374"/>
      <c r="K38" s="373"/>
      <c r="L38" s="371"/>
    </row>
    <row r="39" spans="1:13" ht="16.399999999999999" customHeight="1" x14ac:dyDescent="0.3"/>
    <row r="40" spans="1:13" s="375" customFormat="1" ht="16.399999999999999" customHeight="1" x14ac:dyDescent="0.3"/>
    <row r="41" spans="1:13" ht="14" x14ac:dyDescent="0.3"/>
    <row r="42" spans="1:13" ht="14" x14ac:dyDescent="0.3">
      <c r="K42" s="301" t="s">
        <v>1196</v>
      </c>
      <c r="L42" s="312"/>
    </row>
    <row r="43" spans="1:13" ht="14" hidden="1" x14ac:dyDescent="0.3"/>
    <row r="44" spans="1:13" ht="14" hidden="1" x14ac:dyDescent="0.3"/>
    <row r="45" spans="1:13" ht="14" hidden="1" x14ac:dyDescent="0.3"/>
    <row r="46" spans="1:13" ht="14" hidden="1" x14ac:dyDescent="0.3"/>
    <row r="47" spans="1:13" ht="14" hidden="1" x14ac:dyDescent="0.3"/>
    <row r="48" spans="1:13" ht="14" hidden="1" x14ac:dyDescent="0.3"/>
    <row r="49" spans="1:12" ht="16.399999999999999" customHeight="1" x14ac:dyDescent="0.3">
      <c r="A49" s="277"/>
      <c r="B49" s="277"/>
      <c r="C49" s="376"/>
      <c r="D49" s="377"/>
      <c r="E49" s="377"/>
      <c r="F49" s="377"/>
      <c r="G49" s="376"/>
      <c r="H49" s="376"/>
      <c r="I49" s="376"/>
      <c r="J49" s="377"/>
      <c r="K49" s="377"/>
      <c r="L49" s="378"/>
    </row>
    <row r="50" spans="1:12" ht="14" x14ac:dyDescent="0.3">
      <c r="A50" s="379" t="s">
        <v>894</v>
      </c>
      <c r="B50" s="380" t="str">
        <f>Development!B6&amp;"_"&amp;Version</f>
        <v>1.22.2024_2.0</v>
      </c>
      <c r="C50" s="380"/>
      <c r="D50" s="380"/>
      <c r="E50" s="380"/>
      <c r="F50" s="380"/>
      <c r="G50" s="380"/>
      <c r="H50" s="375"/>
      <c r="I50" s="380"/>
      <c r="J50" s="380"/>
      <c r="K50" s="381" t="s">
        <v>895</v>
      </c>
      <c r="L50" s="382" t="str">
        <f>Development!B6</f>
        <v>1.22.2024</v>
      </c>
    </row>
    <row r="51" spans="1:12" ht="14.15" customHeight="1" x14ac:dyDescent="0.3"/>
    <row r="52" spans="1:12" ht="14.15" customHeight="1" x14ac:dyDescent="0.3"/>
    <row r="53" spans="1:12" ht="14.15" customHeight="1" x14ac:dyDescent="0.3"/>
    <row r="54" spans="1:12" ht="14.15" customHeight="1" x14ac:dyDescent="0.3"/>
    <row r="55" spans="1:12" ht="14.15" customHeight="1" x14ac:dyDescent="0.3"/>
    <row r="56" spans="1:12" ht="14.15" customHeight="1" x14ac:dyDescent="0.3"/>
  </sheetData>
  <sheetProtection algorithmName="SHA-512" hashValue="cxEXHWDHsloZ4FKMgFgWhMqDdbgOfHW8JnGvA82WZQcspiaQLJ17hR1IIq1ZVtmgHhEV20/lbj2omRYi3KmqQA==" saltValue="5hM8gS4Xdbv/7N+mrbVbhg==" spinCount="100000" sheet="1" objects="1" scenarios="1"/>
  <mergeCells count="63">
    <mergeCell ref="A1:F1"/>
    <mergeCell ref="A2:F2"/>
    <mergeCell ref="A33:L33"/>
    <mergeCell ref="A34:B34"/>
    <mergeCell ref="C34:I34"/>
    <mergeCell ref="G30:L30"/>
    <mergeCell ref="A27:B27"/>
    <mergeCell ref="C27:F27"/>
    <mergeCell ref="A22:L22"/>
    <mergeCell ref="A23:B23"/>
    <mergeCell ref="C23:F23"/>
    <mergeCell ref="I23:K23"/>
    <mergeCell ref="C11:F11"/>
    <mergeCell ref="I11:J11"/>
    <mergeCell ref="K11:L11"/>
    <mergeCell ref="A16:B17"/>
    <mergeCell ref="A36:B36"/>
    <mergeCell ref="C36:I36"/>
    <mergeCell ref="K36:L36"/>
    <mergeCell ref="A24:B24"/>
    <mergeCell ref="C24:F24"/>
    <mergeCell ref="I24:J24"/>
    <mergeCell ref="A31:L31"/>
    <mergeCell ref="A25:B25"/>
    <mergeCell ref="C25:F25"/>
    <mergeCell ref="I25:L25"/>
    <mergeCell ref="A26:B26"/>
    <mergeCell ref="C26:F26"/>
    <mergeCell ref="I26:L26"/>
    <mergeCell ref="I27:L27"/>
    <mergeCell ref="A29:L29"/>
    <mergeCell ref="A30:F30"/>
    <mergeCell ref="K9:L9"/>
    <mergeCell ref="I10:J10"/>
    <mergeCell ref="K10:L10"/>
    <mergeCell ref="K6:L6"/>
    <mergeCell ref="A11:B11"/>
    <mergeCell ref="A7:B7"/>
    <mergeCell ref="C7:F7"/>
    <mergeCell ref="I7:J7"/>
    <mergeCell ref="A6:B6"/>
    <mergeCell ref="C6:F6"/>
    <mergeCell ref="A20:B20"/>
    <mergeCell ref="A8:B8"/>
    <mergeCell ref="C8:F8"/>
    <mergeCell ref="I8:J8"/>
    <mergeCell ref="C16:F16"/>
    <mergeCell ref="C18:E18"/>
    <mergeCell ref="C20:E20"/>
    <mergeCell ref="A13:B13"/>
    <mergeCell ref="J13:K13"/>
    <mergeCell ref="A15:L15"/>
    <mergeCell ref="C13:F13"/>
    <mergeCell ref="A10:B10"/>
    <mergeCell ref="C10:F10"/>
    <mergeCell ref="A9:B9"/>
    <mergeCell ref="C9:F9"/>
    <mergeCell ref="I9:J9"/>
    <mergeCell ref="A3:L3"/>
    <mergeCell ref="A4:L4"/>
    <mergeCell ref="A5:B5"/>
    <mergeCell ref="C5:F5"/>
    <mergeCell ref="K5:L5"/>
  </mergeCells>
  <dataValidations count="1">
    <dataValidation type="list" allowBlank="1" showInputMessage="1" showErrorMessage="1" sqref="C13:F13" xr:uid="{CEDC2D36-127F-42CD-B088-A02CE68FBCF5}">
      <formula1>Org_Type</formula1>
    </dataValidation>
  </dataValidations>
  <printOptions horizontalCentered="1"/>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37" r:id="rId4" name="Group Box 13">
              <controlPr defaultSize="0" autoFill="0" autoPict="0">
                <anchor moveWithCells="1">
                  <from>
                    <xdr:col>1</xdr:col>
                    <xdr:colOff>2266950</xdr:colOff>
                    <xdr:row>14</xdr:row>
                    <xdr:rowOff>12700</xdr:rowOff>
                  </from>
                  <to>
                    <xdr:col>10</xdr:col>
                    <xdr:colOff>946150</xdr:colOff>
                    <xdr:row>18</xdr:row>
                    <xdr:rowOff>241300</xdr:rowOff>
                  </to>
                </anchor>
              </controlPr>
            </control>
          </mc:Choice>
        </mc:AlternateContent>
        <mc:AlternateContent xmlns:mc="http://schemas.openxmlformats.org/markup-compatibility/2006">
          <mc:Choice Requires="x14">
            <control shapeId="26654" r:id="rId5" name="Group Box 30">
              <controlPr defaultSize="0" autoFill="0" autoPict="0">
                <anchor moveWithCells="1">
                  <from>
                    <xdr:col>1</xdr:col>
                    <xdr:colOff>1828800</xdr:colOff>
                    <xdr:row>10</xdr:row>
                    <xdr:rowOff>895350</xdr:rowOff>
                  </from>
                  <to>
                    <xdr:col>9</xdr:col>
                    <xdr:colOff>2584450</xdr:colOff>
                    <xdr:row>13</xdr:row>
                    <xdr:rowOff>127000</xdr:rowOff>
                  </to>
                </anchor>
              </controlPr>
            </control>
          </mc:Choice>
        </mc:AlternateContent>
        <mc:AlternateContent xmlns:mc="http://schemas.openxmlformats.org/markup-compatibility/2006">
          <mc:Choice Requires="x14">
            <control shapeId="26658" r:id="rId6" name="Group Box 34">
              <controlPr defaultSize="0" autoFill="0" autoPict="0">
                <anchor moveWithCells="1">
                  <from>
                    <xdr:col>1</xdr:col>
                    <xdr:colOff>2584450</xdr:colOff>
                    <xdr:row>17</xdr:row>
                    <xdr:rowOff>0</xdr:rowOff>
                  </from>
                  <to>
                    <xdr:col>5</xdr:col>
                    <xdr:colOff>317500</xdr:colOff>
                    <xdr:row>18</xdr:row>
                    <xdr:rowOff>222250</xdr:rowOff>
                  </to>
                </anchor>
              </controlPr>
            </control>
          </mc:Choice>
        </mc:AlternateContent>
        <mc:AlternateContent xmlns:mc="http://schemas.openxmlformats.org/markup-compatibility/2006">
          <mc:Choice Requires="x14">
            <control shapeId="26660" r:id="rId7" name="Group Box 36">
              <controlPr defaultSize="0" autoFill="0" autoPict="0">
                <anchor moveWithCells="1">
                  <from>
                    <xdr:col>1</xdr:col>
                    <xdr:colOff>2584450</xdr:colOff>
                    <xdr:row>19</xdr:row>
                    <xdr:rowOff>0</xdr:rowOff>
                  </from>
                  <to>
                    <xdr:col>5</xdr:col>
                    <xdr:colOff>317500</xdr:colOff>
                    <xdr:row>20</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A4E3A237-655B-4FA1-BC35-531DCC65F7C4}">
          <x14:formula1>
            <xm:f>References!$G$21:$G$42</xm:f>
          </x14:formula1>
          <xm:sqref>C16:F16</xm:sqref>
        </x14:dataValidation>
        <x14:dataValidation type="list" allowBlank="1" showInputMessage="1" showErrorMessage="1" xr:uid="{6589E649-38DB-4E9C-BA9F-ED825BA96F9E}">
          <x14:formula1>
            <xm:f>References!$B$78:$B$80</xm:f>
          </x14:formula1>
          <xm:sqref>C18:E19 C21:E21</xm:sqref>
        </x14:dataValidation>
        <x14:dataValidation type="list" allowBlank="1" showInputMessage="1" showErrorMessage="1" xr:uid="{A7CA6819-C1DA-48E4-A010-C9CDE5D6E602}">
          <x14:formula1>
            <xm:f>References!$B$83:$B$85</xm:f>
          </x14:formula1>
          <xm:sqref>C20:E20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0000"/>
  </sheetPr>
  <dimension ref="A1:CI226"/>
  <sheetViews>
    <sheetView showGridLines="0" zoomScale="110" zoomScaleNormal="110" workbookViewId="0">
      <selection activeCell="D18" sqref="D18"/>
    </sheetView>
  </sheetViews>
  <sheetFormatPr defaultColWidth="9.1796875" defaultRowHeight="13" x14ac:dyDescent="0.3"/>
  <cols>
    <col min="1" max="1" width="3.54296875" style="11" customWidth="1"/>
    <col min="2" max="2" width="24.453125" style="11" bestFit="1" customWidth="1"/>
    <col min="3" max="3" width="3.54296875" style="11" customWidth="1"/>
    <col min="4" max="4" width="44.54296875" style="11" bestFit="1" customWidth="1"/>
    <col min="5" max="5" width="55.453125" style="11" customWidth="1"/>
    <col min="6" max="6" width="47.453125" style="11" bestFit="1" customWidth="1"/>
    <col min="7" max="7" width="30.453125" style="11" bestFit="1" customWidth="1"/>
    <col min="8" max="8" width="17.54296875" style="11" bestFit="1" customWidth="1"/>
    <col min="9" max="9" width="22" style="11" bestFit="1" customWidth="1"/>
    <col min="10" max="15" width="20.54296875" style="11" customWidth="1"/>
    <col min="16" max="19" width="28.81640625" style="11" customWidth="1"/>
    <col min="20" max="20" width="53.81640625" style="11" customWidth="1"/>
    <col min="21" max="21" width="12.54296875" style="11" bestFit="1" customWidth="1"/>
    <col min="22" max="22" width="12.54296875" style="11" customWidth="1"/>
    <col min="23" max="23" width="27.453125" style="11" bestFit="1" customWidth="1"/>
    <col min="24" max="24" width="27.453125" style="11" customWidth="1"/>
    <col min="25" max="25" width="15.54296875" style="11" bestFit="1" customWidth="1"/>
    <col min="26" max="26" width="18.26953125" style="11" bestFit="1" customWidth="1"/>
    <col min="27" max="27" width="16.7265625" style="11" bestFit="1" customWidth="1"/>
    <col min="28" max="28" width="15.7265625" style="11" bestFit="1" customWidth="1"/>
    <col min="29" max="29" width="14.1796875" style="11" bestFit="1" customWidth="1"/>
    <col min="30" max="31" width="4.7265625" style="11" bestFit="1" customWidth="1"/>
    <col min="32" max="32" width="8.54296875" style="11" bestFit="1" customWidth="1"/>
    <col min="33" max="33" width="63.453125" style="11" customWidth="1"/>
    <col min="34" max="34" width="11.1796875" style="11" customWidth="1"/>
    <col min="35" max="35" width="25.453125" style="11" customWidth="1"/>
    <col min="36" max="36" width="11.7265625" style="11" bestFit="1" customWidth="1"/>
    <col min="37" max="37" width="43" style="11" bestFit="1" customWidth="1"/>
    <col min="38" max="39" width="5.54296875" style="11" customWidth="1"/>
    <col min="40" max="40" width="69.54296875" style="11" customWidth="1"/>
    <col min="41" max="49" width="9.1796875" style="11"/>
    <col min="50" max="50" width="16.81640625" style="11" bestFit="1" customWidth="1"/>
    <col min="51" max="51" width="55" style="11" customWidth="1"/>
    <col min="52" max="63" width="9.1796875" style="11" customWidth="1"/>
    <col min="64" max="71" width="9.1796875" style="11"/>
    <col min="72" max="72" width="29.453125" style="11" customWidth="1"/>
    <col min="73" max="73" width="17.453125" style="11" bestFit="1" customWidth="1"/>
    <col min="74" max="74" width="9.1796875" style="11"/>
    <col min="75" max="75" width="26.453125" style="11" bestFit="1" customWidth="1"/>
    <col min="76" max="76" width="41.54296875" style="11" bestFit="1" customWidth="1"/>
    <col min="77" max="77" width="23.7265625" style="11" bestFit="1" customWidth="1"/>
    <col min="78" max="78" width="21.1796875" style="11" bestFit="1" customWidth="1"/>
    <col min="79" max="79" width="36.7265625" style="11" bestFit="1" customWidth="1"/>
    <col min="80" max="80" width="41.453125" style="11" bestFit="1" customWidth="1"/>
    <col min="81" max="81" width="18.81640625" style="11" bestFit="1" customWidth="1"/>
    <col min="82" max="82" width="41" style="11" bestFit="1" customWidth="1"/>
    <col min="83" max="83" width="54.7265625" style="11" bestFit="1" customWidth="1"/>
    <col min="84" max="84" width="19" style="11" bestFit="1" customWidth="1"/>
    <col min="85" max="85" width="36" style="11" bestFit="1" customWidth="1"/>
    <col min="86" max="86" width="32" style="11" bestFit="1" customWidth="1"/>
    <col min="87" max="87" width="6.26953125" style="11" bestFit="1" customWidth="1"/>
    <col min="88" max="16384" width="9.1796875" style="11"/>
  </cols>
  <sheetData>
    <row r="1" spans="1:87" ht="14" x14ac:dyDescent="0.3">
      <c r="A1" s="2"/>
      <c r="B1" s="2"/>
      <c r="C1" s="2"/>
      <c r="D1" s="2"/>
      <c r="E1" s="2"/>
      <c r="G1" s="2"/>
      <c r="AN1" s="11" t="s">
        <v>181</v>
      </c>
      <c r="AY1" s="11" t="s">
        <v>2334</v>
      </c>
      <c r="BT1" s="543" t="s">
        <v>1397</v>
      </c>
    </row>
    <row r="2" spans="1:87" ht="14" x14ac:dyDescent="0.3">
      <c r="A2" s="2"/>
      <c r="B2" s="2"/>
      <c r="C2" s="2"/>
      <c r="D2" s="44" t="s">
        <v>144</v>
      </c>
      <c r="E2" s="44"/>
      <c r="F2" s="44"/>
      <c r="T2" s="44" t="s">
        <v>606</v>
      </c>
      <c r="U2" s="44"/>
      <c r="V2" s="44"/>
      <c r="W2" s="44"/>
      <c r="X2" s="44"/>
      <c r="AG2" s="44" t="s">
        <v>527</v>
      </c>
      <c r="AK2" s="8"/>
      <c r="AL2" s="8"/>
      <c r="AM2" s="8"/>
      <c r="AN2" s="9" t="s">
        <v>40</v>
      </c>
      <c r="AO2" s="1210" t="s">
        <v>50</v>
      </c>
      <c r="AP2" s="1211"/>
      <c r="AQ2" s="1211"/>
      <c r="AR2" s="1211"/>
      <c r="AS2" s="1211"/>
      <c r="AT2" s="1210" t="s">
        <v>49</v>
      </c>
      <c r="AU2" s="1211"/>
      <c r="AV2" s="1211"/>
      <c r="AW2" s="1212"/>
      <c r="AY2" s="44" t="s">
        <v>40</v>
      </c>
      <c r="AZ2" s="1207" t="s">
        <v>122</v>
      </c>
      <c r="BA2" s="1208"/>
      <c r="BB2" s="1208"/>
      <c r="BC2" s="1208"/>
      <c r="BD2" s="1208"/>
      <c r="BE2" s="1207" t="s">
        <v>121</v>
      </c>
      <c r="BF2" s="1208"/>
      <c r="BG2" s="1208"/>
      <c r="BH2" s="1208"/>
      <c r="BI2" s="1208"/>
      <c r="BJ2" s="328"/>
      <c r="BK2" s="328"/>
      <c r="BL2" s="1208" t="s">
        <v>143</v>
      </c>
      <c r="BM2" s="1208"/>
      <c r="BN2" s="1208"/>
      <c r="BO2" s="1209"/>
      <c r="BT2" s="544" t="s">
        <v>1406</v>
      </c>
    </row>
    <row r="3" spans="1:87" ht="14.5" x14ac:dyDescent="0.35">
      <c r="A3" s="2"/>
      <c r="C3" s="2"/>
      <c r="D3" s="216" t="s">
        <v>48</v>
      </c>
      <c r="E3" s="216" t="s">
        <v>173</v>
      </c>
      <c r="F3" s="216" t="s">
        <v>91</v>
      </c>
      <c r="G3" s="216" t="s">
        <v>92</v>
      </c>
      <c r="H3" s="241" t="s">
        <v>562</v>
      </c>
      <c r="I3" s="241" t="s">
        <v>563</v>
      </c>
      <c r="J3" s="216" t="s">
        <v>95</v>
      </c>
      <c r="K3" s="216" t="s">
        <v>97</v>
      </c>
      <c r="L3" s="216" t="s">
        <v>874</v>
      </c>
      <c r="M3" s="216" t="s">
        <v>873</v>
      </c>
      <c r="N3" s="216" t="s">
        <v>928</v>
      </c>
      <c r="O3" s="216" t="s">
        <v>929</v>
      </c>
      <c r="P3" s="216" t="s">
        <v>1376</v>
      </c>
      <c r="Q3" s="216" t="s">
        <v>1375</v>
      </c>
      <c r="R3" s="216" t="s">
        <v>1902</v>
      </c>
      <c r="T3" s="255" t="s">
        <v>636</v>
      </c>
      <c r="U3" s="255" t="s">
        <v>966</v>
      </c>
      <c r="V3" s="255" t="s">
        <v>967</v>
      </c>
      <c r="W3" s="255" t="s">
        <v>2226</v>
      </c>
      <c r="X3" s="255" t="s">
        <v>2227</v>
      </c>
      <c r="Y3" s="1204" t="s">
        <v>1313</v>
      </c>
      <c r="Z3" s="1205"/>
      <c r="AA3" s="1205"/>
      <c r="AB3" s="1205"/>
      <c r="AC3" s="1205"/>
      <c r="AD3" s="1205"/>
      <c r="AE3" s="1206"/>
      <c r="AG3" s="217" t="s">
        <v>528</v>
      </c>
      <c r="AH3" s="217" t="s">
        <v>328</v>
      </c>
      <c r="AI3" s="217" t="s">
        <v>650</v>
      </c>
      <c r="AJ3" s="217" t="s">
        <v>649</v>
      </c>
      <c r="AK3" s="217" t="s">
        <v>648</v>
      </c>
      <c r="AL3" s="8"/>
      <c r="AM3" s="8"/>
      <c r="AN3" s="242"/>
      <c r="AO3" s="243" t="s">
        <v>26</v>
      </c>
      <c r="AP3" s="244" t="s">
        <v>27</v>
      </c>
      <c r="AQ3" s="244" t="s">
        <v>101</v>
      </c>
      <c r="AR3" s="244" t="s">
        <v>100</v>
      </c>
      <c r="AS3" s="244" t="s">
        <v>34</v>
      </c>
      <c r="AT3" s="243" t="s">
        <v>26</v>
      </c>
      <c r="AU3" s="244" t="s">
        <v>27</v>
      </c>
      <c r="AV3" s="244" t="s">
        <v>101</v>
      </c>
      <c r="AW3" s="245" t="s">
        <v>100</v>
      </c>
      <c r="AY3" s="246"/>
      <c r="AZ3" s="247" t="s">
        <v>925</v>
      </c>
      <c r="BA3" s="248" t="s">
        <v>27</v>
      </c>
      <c r="BB3" s="248" t="s">
        <v>101</v>
      </c>
      <c r="BC3" s="248" t="s">
        <v>100</v>
      </c>
      <c r="BD3" s="248" t="s">
        <v>34</v>
      </c>
      <c r="BE3" s="247" t="s">
        <v>26</v>
      </c>
      <c r="BF3" s="248" t="s">
        <v>27</v>
      </c>
      <c r="BG3" s="248" t="s">
        <v>101</v>
      </c>
      <c r="BH3" s="248" t="s">
        <v>100</v>
      </c>
      <c r="BI3" s="248" t="s">
        <v>1391</v>
      </c>
      <c r="BJ3" s="248" t="s">
        <v>1392</v>
      </c>
      <c r="BK3" s="248" t="s">
        <v>1393</v>
      </c>
      <c r="BL3" s="247" t="s">
        <v>926</v>
      </c>
      <c r="BM3" s="248" t="s">
        <v>27</v>
      </c>
      <c r="BN3" s="248" t="s">
        <v>101</v>
      </c>
      <c r="BO3" s="249" t="s">
        <v>100</v>
      </c>
      <c r="BT3" s="293" t="s">
        <v>1408</v>
      </c>
      <c r="BU3"/>
      <c r="BV3"/>
      <c r="BW3" t="s">
        <v>1407</v>
      </c>
      <c r="BX3"/>
      <c r="BY3"/>
      <c r="BZ3"/>
      <c r="CA3"/>
      <c r="CB3"/>
      <c r="CC3"/>
      <c r="CD3"/>
      <c r="CE3"/>
      <c r="CF3"/>
      <c r="CG3"/>
      <c r="CH3"/>
      <c r="CI3"/>
    </row>
    <row r="4" spans="1:87" ht="15" thickBot="1" x14ac:dyDescent="0.4">
      <c r="A4" s="2"/>
      <c r="C4" s="2"/>
      <c r="D4" s="42"/>
      <c r="E4" s="42"/>
      <c r="F4" s="42"/>
      <c r="G4" s="42"/>
      <c r="H4" s="42"/>
      <c r="I4" s="42"/>
      <c r="J4" s="42"/>
      <c r="K4" s="41"/>
      <c r="L4" s="41"/>
      <c r="M4" s="41"/>
      <c r="N4" s="34"/>
      <c r="O4" s="34"/>
      <c r="P4" s="34"/>
      <c r="Q4" s="34"/>
      <c r="R4" s="34"/>
      <c r="T4" s="214" t="s">
        <v>608</v>
      </c>
      <c r="U4" s="507">
        <v>2</v>
      </c>
      <c r="V4" s="507">
        <v>2</v>
      </c>
      <c r="W4" s="517" t="s">
        <v>179</v>
      </c>
      <c r="X4" s="770" t="s">
        <v>44</v>
      </c>
      <c r="Y4" s="517"/>
      <c r="Z4" s="517" t="s">
        <v>179</v>
      </c>
      <c r="AA4" s="517" t="s">
        <v>44</v>
      </c>
      <c r="AB4" s="517"/>
      <c r="AC4" s="42"/>
      <c r="AD4" s="42"/>
      <c r="AE4" s="42"/>
      <c r="AG4" s="42" t="s">
        <v>437</v>
      </c>
      <c r="AH4" s="213" t="s">
        <v>482</v>
      </c>
      <c r="AI4" s="213" t="str">
        <f>INDEX('HVAC Types'!B$2:B$86,MATCH($AH4,'HVAC Types'!$A$2:$A$86,0))</f>
        <v>Cooling - HVAC Equipment</v>
      </c>
      <c r="AJ4" s="213" t="str">
        <f>INDEX('HVAC Types'!C$2:C$86,MATCH($AH4,'HVAC Types'!$A$2:$A$86,0))</f>
        <v>Air Conditioners</v>
      </c>
      <c r="AK4" s="213" t="str">
        <f>INDEX('HVAC Types'!D$2:D$86,MATCH($AH4,'HVAC Types'!$A$2:$A$86,0))</f>
        <v>ACR Room Air Conditioners - AC100</v>
      </c>
      <c r="AL4" s="8"/>
      <c r="AM4" s="8"/>
      <c r="AN4" s="17" t="s">
        <v>183</v>
      </c>
      <c r="AO4" s="18"/>
      <c r="AP4" s="19">
        <v>10.4</v>
      </c>
      <c r="AQ4" s="19"/>
      <c r="AR4" s="19"/>
      <c r="AS4" s="20">
        <v>200</v>
      </c>
      <c r="AT4" s="18" t="s">
        <v>30</v>
      </c>
      <c r="AU4" s="19">
        <v>8</v>
      </c>
      <c r="AV4" s="19" t="s">
        <v>30</v>
      </c>
      <c r="AW4" s="40" t="s">
        <v>30</v>
      </c>
      <c r="AY4" s="968" t="s">
        <v>608</v>
      </c>
      <c r="AZ4" s="969"/>
      <c r="BA4" s="970">
        <v>10.4</v>
      </c>
      <c r="BB4" s="970"/>
      <c r="BC4" s="970"/>
      <c r="BD4" s="971">
        <v>0.55000000000000004</v>
      </c>
      <c r="BE4" s="969"/>
      <c r="BF4" s="970"/>
      <c r="BG4" s="970"/>
      <c r="BH4" s="970"/>
      <c r="BI4" s="972"/>
      <c r="BJ4" s="969"/>
      <c r="BK4" s="972"/>
      <c r="BL4" s="959"/>
      <c r="BM4" s="959"/>
      <c r="BN4" s="959"/>
      <c r="BO4" s="973"/>
      <c r="BT4" s="293" t="s">
        <v>1818</v>
      </c>
      <c r="BU4"/>
      <c r="BV4"/>
      <c r="BW4" s="544" t="s">
        <v>1409</v>
      </c>
      <c r="BX4" s="544" t="s">
        <v>1410</v>
      </c>
      <c r="BY4" s="544" t="s">
        <v>1411</v>
      </c>
      <c r="BZ4" s="544" t="s">
        <v>1412</v>
      </c>
      <c r="CA4" s="544" t="s">
        <v>1292</v>
      </c>
      <c r="CB4" s="544" t="s">
        <v>1413</v>
      </c>
      <c r="CC4" s="544" t="s">
        <v>1414</v>
      </c>
      <c r="CD4" s="544" t="s">
        <v>1415</v>
      </c>
      <c r="CE4" s="544" t="s">
        <v>1416</v>
      </c>
      <c r="CF4" s="544" t="s">
        <v>1417</v>
      </c>
      <c r="CG4" s="544" t="s">
        <v>1418</v>
      </c>
      <c r="CH4" s="544" t="s">
        <v>1419</v>
      </c>
      <c r="CI4" s="544" t="s">
        <v>1420</v>
      </c>
    </row>
    <row r="5" spans="1:87" ht="15" thickBot="1" x14ac:dyDescent="0.4">
      <c r="A5" s="2"/>
      <c r="B5" s="2"/>
      <c r="C5" s="2"/>
      <c r="D5" s="34" t="s">
        <v>172</v>
      </c>
      <c r="E5" s="34" t="s">
        <v>172</v>
      </c>
      <c r="F5" s="34" t="s">
        <v>11</v>
      </c>
      <c r="G5" s="34" t="s">
        <v>11</v>
      </c>
      <c r="H5" s="34" t="s">
        <v>556</v>
      </c>
      <c r="I5" s="34" t="s">
        <v>172</v>
      </c>
      <c r="J5" s="34" t="s">
        <v>11</v>
      </c>
      <c r="K5" s="40" t="s">
        <v>172</v>
      </c>
      <c r="L5" s="40" t="s">
        <v>867</v>
      </c>
      <c r="M5" s="40" t="s">
        <v>867</v>
      </c>
      <c r="N5" s="34" t="s">
        <v>172</v>
      </c>
      <c r="O5" s="34" t="s">
        <v>172</v>
      </c>
      <c r="P5" s="34" t="s">
        <v>172</v>
      </c>
      <c r="Q5" s="34" t="s">
        <v>172</v>
      </c>
      <c r="R5" s="34" t="s">
        <v>172</v>
      </c>
      <c r="T5" s="214" t="s">
        <v>607</v>
      </c>
      <c r="U5" s="214">
        <v>1</v>
      </c>
      <c r="V5" s="214">
        <v>1</v>
      </c>
      <c r="W5" s="34" t="s">
        <v>173</v>
      </c>
      <c r="X5" s="771" t="s">
        <v>44</v>
      </c>
      <c r="Y5" s="624"/>
      <c r="Z5" s="624" t="s">
        <v>179</v>
      </c>
      <c r="AA5" s="624" t="s">
        <v>173</v>
      </c>
      <c r="AB5" s="624" t="s">
        <v>44</v>
      </c>
      <c r="AC5" s="624"/>
      <c r="AD5" s="624"/>
      <c r="AE5" s="624"/>
      <c r="AG5" s="34" t="s">
        <v>438</v>
      </c>
      <c r="AH5" s="38" t="s">
        <v>483</v>
      </c>
      <c r="AI5" s="666" t="str">
        <f>INDEX('HVAC Types'!B$2:B$86,MATCH($AH5,'HVAC Types'!$A$2:$A$86,0))</f>
        <v>Cooling - HVAC Equipment</v>
      </c>
      <c r="AJ5" s="666" t="str">
        <f>INDEX('HVAC Types'!C$2:C$86,MATCH($AH5,'HVAC Types'!$A$2:$A$86,0))</f>
        <v>Air Conditioners</v>
      </c>
      <c r="AK5" s="666" t="str">
        <f>INDEX('HVAC Types'!D$2:D$86,MATCH($AH5,'HVAC Types'!$A$2:$A$86,0))</f>
        <v>ACR Ductless Mini Split - AC200</v>
      </c>
      <c r="AL5" s="8"/>
      <c r="AM5" s="8"/>
      <c r="AN5" s="65" t="s">
        <v>214</v>
      </c>
      <c r="AO5" s="323">
        <v>15</v>
      </c>
      <c r="AP5" s="322">
        <v>12.5</v>
      </c>
      <c r="AQ5" s="19"/>
      <c r="AR5" s="19"/>
      <c r="AS5" s="20">
        <v>600</v>
      </c>
      <c r="AT5" s="18" t="s">
        <v>30</v>
      </c>
      <c r="AU5" s="19">
        <v>8</v>
      </c>
      <c r="AV5" s="19" t="s">
        <v>30</v>
      </c>
      <c r="AW5" s="40" t="s">
        <v>30</v>
      </c>
      <c r="AX5" s="942"/>
      <c r="AY5" s="847" t="s">
        <v>201</v>
      </c>
      <c r="AZ5" s="848">
        <v>15</v>
      </c>
      <c r="BA5" s="849">
        <v>12.5</v>
      </c>
      <c r="BB5" s="849"/>
      <c r="BC5" s="849"/>
      <c r="BD5" s="850">
        <v>0.55000000000000004</v>
      </c>
      <c r="BE5" s="848">
        <v>16</v>
      </c>
      <c r="BF5" s="849">
        <v>13</v>
      </c>
      <c r="BG5" s="849"/>
      <c r="BH5" s="849"/>
      <c r="BI5" s="851">
        <v>230</v>
      </c>
      <c r="BJ5" s="852"/>
      <c r="BK5" s="852"/>
      <c r="BL5" s="848">
        <v>13</v>
      </c>
      <c r="BM5" s="946">
        <v>11.2</v>
      </c>
      <c r="BN5" s="849"/>
      <c r="BO5" s="853"/>
      <c r="BT5" s="293" t="s">
        <v>1969</v>
      </c>
      <c r="BU5"/>
      <c r="BV5"/>
      <c r="BW5" s="545">
        <v>8446</v>
      </c>
      <c r="BX5" s="545" t="s">
        <v>1422</v>
      </c>
      <c r="BY5" s="545" t="s">
        <v>1423</v>
      </c>
      <c r="BZ5" s="545" t="s">
        <v>1424</v>
      </c>
      <c r="CA5" s="545" t="s">
        <v>1425</v>
      </c>
      <c r="CB5" s="545" t="s">
        <v>1426</v>
      </c>
      <c r="CC5" s="545" t="s">
        <v>1427</v>
      </c>
      <c r="CD5" s="545" t="s">
        <v>1428</v>
      </c>
      <c r="CE5" s="545" t="s">
        <v>1429</v>
      </c>
      <c r="CF5" s="545" t="s">
        <v>1430</v>
      </c>
      <c r="CG5" s="545" t="s">
        <v>1431</v>
      </c>
      <c r="CH5" s="545" t="s">
        <v>1419</v>
      </c>
      <c r="CI5" s="545" t="s">
        <v>1432</v>
      </c>
    </row>
    <row r="6" spans="1:87" ht="14.5" x14ac:dyDescent="0.35">
      <c r="A6" s="2"/>
      <c r="B6" s="2"/>
      <c r="C6" s="2"/>
      <c r="D6" s="34"/>
      <c r="E6" s="34"/>
      <c r="F6" s="34" t="s">
        <v>99</v>
      </c>
      <c r="G6" s="34" t="s">
        <v>99</v>
      </c>
      <c r="H6" s="34" t="s">
        <v>557</v>
      </c>
      <c r="I6" s="34"/>
      <c r="J6" s="34" t="s">
        <v>99</v>
      </c>
      <c r="K6" s="40"/>
      <c r="L6" s="40"/>
      <c r="M6" s="40"/>
      <c r="N6" s="34"/>
      <c r="O6" s="34"/>
      <c r="P6" s="34"/>
      <c r="Q6" s="34"/>
      <c r="R6" s="34"/>
      <c r="T6" s="214" t="s">
        <v>142</v>
      </c>
      <c r="U6" s="214">
        <v>1</v>
      </c>
      <c r="V6" s="214">
        <v>1</v>
      </c>
      <c r="W6" s="34" t="s">
        <v>1314</v>
      </c>
      <c r="X6" s="771" t="s">
        <v>44</v>
      </c>
      <c r="Y6" s="624"/>
      <c r="Z6" s="624" t="s">
        <v>179</v>
      </c>
      <c r="AA6" s="624" t="s">
        <v>1282</v>
      </c>
      <c r="AB6" s="624" t="s">
        <v>44</v>
      </c>
      <c r="AC6" s="624"/>
      <c r="AD6" s="624"/>
      <c r="AE6" s="624"/>
      <c r="AG6" s="34" t="s">
        <v>449</v>
      </c>
      <c r="AH6" s="38" t="s">
        <v>329</v>
      </c>
      <c r="AI6" s="666" t="str">
        <f>INDEX('HVAC Types'!B$2:B$86,MATCH($AH6,'HVAC Types'!$A$2:$A$86,0))</f>
        <v>Cooling - HVAC Equipment</v>
      </c>
      <c r="AJ6" s="666" t="str">
        <f>INDEX('HVAC Types'!C$2:C$86,MATCH($AH6,'HVAC Types'!$A$2:$A$86,0))</f>
        <v>Air Conditioners</v>
      </c>
      <c r="AK6" s="666" t="str">
        <f>INDEX('HVAC Types'!D$2:D$86,MATCH($AH6,'HVAC Types'!$A$2:$A$86,0))</f>
        <v>ACR Ductless Mini-Split AC - AC201</v>
      </c>
      <c r="AL6" s="8"/>
      <c r="AM6" s="8"/>
      <c r="AN6" s="254" t="s">
        <v>564</v>
      </c>
      <c r="AO6" s="323">
        <v>15</v>
      </c>
      <c r="AP6" s="322">
        <v>12.5</v>
      </c>
      <c r="AQ6" s="19">
        <v>8.5</v>
      </c>
      <c r="AR6" s="19"/>
      <c r="AS6" s="20">
        <v>600</v>
      </c>
      <c r="AT6" s="18" t="s">
        <v>30</v>
      </c>
      <c r="AU6" s="19">
        <v>8</v>
      </c>
      <c r="AV6" s="19" t="s">
        <v>30</v>
      </c>
      <c r="AW6" s="40" t="s">
        <v>30</v>
      </c>
      <c r="AX6" s="936"/>
      <c r="AY6" s="854" t="s">
        <v>142</v>
      </c>
      <c r="AZ6" s="855">
        <v>16</v>
      </c>
      <c r="BA6" s="856">
        <v>13</v>
      </c>
      <c r="BB6" s="856"/>
      <c r="BC6" s="856"/>
      <c r="BD6" s="857">
        <v>0.55000000000000004</v>
      </c>
      <c r="BE6" s="855">
        <v>18</v>
      </c>
      <c r="BF6" s="856">
        <v>13</v>
      </c>
      <c r="BG6" s="856"/>
      <c r="BH6" s="856"/>
      <c r="BI6" s="858">
        <v>230</v>
      </c>
      <c r="BJ6" s="859"/>
      <c r="BK6" s="859"/>
      <c r="BL6" s="855">
        <v>13</v>
      </c>
      <c r="BM6" s="856">
        <f t="shared" ref="BM6:BM7" si="0">(1.12*BL6)-(0.02*BL6^2)</f>
        <v>11.180000000000003</v>
      </c>
      <c r="BN6" s="856"/>
      <c r="BO6" s="860"/>
      <c r="BT6" s="293" t="s">
        <v>1552</v>
      </c>
      <c r="BU6"/>
      <c r="BV6"/>
      <c r="BW6" s="545">
        <v>8448</v>
      </c>
      <c r="BX6" s="545"/>
      <c r="BY6" s="545" t="s">
        <v>1425</v>
      </c>
      <c r="BZ6" s="545"/>
      <c r="CA6" s="545" t="s">
        <v>1433</v>
      </c>
      <c r="CB6" s="545" t="s">
        <v>1434</v>
      </c>
      <c r="CC6" s="545" t="s">
        <v>1435</v>
      </c>
      <c r="CD6" s="545" t="s">
        <v>1436</v>
      </c>
      <c r="CE6" s="545"/>
      <c r="CF6" s="545"/>
      <c r="CG6" s="545"/>
      <c r="CH6" s="545"/>
      <c r="CI6" s="545"/>
    </row>
    <row r="7" spans="1:87" ht="14.5" x14ac:dyDescent="0.35">
      <c r="A7" s="2"/>
      <c r="B7" s="217" t="s">
        <v>597</v>
      </c>
      <c r="C7" s="2"/>
      <c r="D7" s="32"/>
      <c r="E7" s="32"/>
      <c r="F7" s="32"/>
      <c r="G7" s="32"/>
      <c r="H7" s="32" t="s">
        <v>552</v>
      </c>
      <c r="I7" s="32"/>
      <c r="J7" s="32"/>
      <c r="K7" s="39"/>
      <c r="L7" s="39"/>
      <c r="M7" s="39"/>
      <c r="N7" s="32"/>
      <c r="O7" s="32"/>
      <c r="P7" s="32"/>
      <c r="Q7" s="32"/>
      <c r="R7" s="32"/>
      <c r="T7" s="214" t="s">
        <v>141</v>
      </c>
      <c r="U7" s="214">
        <v>1</v>
      </c>
      <c r="V7" s="214">
        <v>1</v>
      </c>
      <c r="W7" s="34" t="s">
        <v>1315</v>
      </c>
      <c r="X7" s="771" t="s">
        <v>44</v>
      </c>
      <c r="Y7" s="624"/>
      <c r="Z7" s="624" t="s">
        <v>179</v>
      </c>
      <c r="AA7" s="624" t="s">
        <v>1283</v>
      </c>
      <c r="AB7" s="624" t="s">
        <v>44</v>
      </c>
      <c r="AC7" s="624"/>
      <c r="AD7" s="624"/>
      <c r="AE7" s="624"/>
      <c r="AG7" s="34" t="s">
        <v>462</v>
      </c>
      <c r="AH7" s="38" t="s">
        <v>330</v>
      </c>
      <c r="AI7" s="666" t="str">
        <f>INDEX('HVAC Types'!B$2:B$86,MATCH($AH7,'HVAC Types'!$A$2:$A$86,0))</f>
        <v>Cooling - HVAC Equipment</v>
      </c>
      <c r="AJ7" s="666" t="str">
        <f>INDEX('HVAC Types'!C$2:C$86,MATCH($AH7,'HVAC Types'!$A$2:$A$86,0))</f>
        <v>Air Conditioners</v>
      </c>
      <c r="AK7" s="666" t="str">
        <f>INDEX('HVAC Types'!D$2:D$86,MATCH($AH7,'HVAC Types'!$A$2:$A$86,0))</f>
        <v>ACR Ductless Mini-Split AC - AC202</v>
      </c>
      <c r="AL7" s="8"/>
      <c r="AM7" s="8"/>
      <c r="AN7" s="65" t="s">
        <v>192</v>
      </c>
      <c r="AO7" s="323">
        <v>16</v>
      </c>
      <c r="AP7" s="322">
        <v>13</v>
      </c>
      <c r="AQ7" s="19"/>
      <c r="AR7" s="19"/>
      <c r="AS7" s="20">
        <v>300</v>
      </c>
      <c r="AT7" s="18" t="s">
        <v>30</v>
      </c>
      <c r="AU7" s="19">
        <v>9</v>
      </c>
      <c r="AV7" s="19" t="s">
        <v>30</v>
      </c>
      <c r="AW7" s="40" t="s">
        <v>30</v>
      </c>
      <c r="AX7" s="936"/>
      <c r="AY7" s="861" t="s">
        <v>141</v>
      </c>
      <c r="AZ7" s="862">
        <v>16</v>
      </c>
      <c r="BA7" s="863">
        <v>12</v>
      </c>
      <c r="BB7" s="863"/>
      <c r="BC7" s="863"/>
      <c r="BD7" s="864">
        <v>0.55000000000000004</v>
      </c>
      <c r="BE7" s="862">
        <v>17</v>
      </c>
      <c r="BF7" s="863">
        <v>12.5</v>
      </c>
      <c r="BG7" s="863"/>
      <c r="BH7" s="863"/>
      <c r="BI7" s="865">
        <v>230</v>
      </c>
      <c r="BJ7" s="866"/>
      <c r="BK7" s="866"/>
      <c r="BL7" s="862">
        <v>14</v>
      </c>
      <c r="BM7" s="863">
        <f t="shared" si="0"/>
        <v>11.760000000000002</v>
      </c>
      <c r="BN7" s="863"/>
      <c r="BO7" s="867"/>
      <c r="BV7"/>
      <c r="BW7" s="545">
        <v>8476</v>
      </c>
      <c r="BX7" s="545"/>
      <c r="BY7" s="545" t="s">
        <v>1433</v>
      </c>
      <c r="BZ7" s="545"/>
      <c r="CA7" s="545" t="s">
        <v>1438</v>
      </c>
      <c r="CB7" s="545" t="s">
        <v>1439</v>
      </c>
      <c r="CC7" s="545" t="s">
        <v>1440</v>
      </c>
      <c r="CD7" s="545" t="s">
        <v>1441</v>
      </c>
      <c r="CE7" s="545"/>
      <c r="CF7" s="545"/>
      <c r="CG7" s="545"/>
      <c r="CH7" s="545"/>
      <c r="CI7" s="545"/>
    </row>
    <row r="8" spans="1:87" ht="14.5" x14ac:dyDescent="0.35">
      <c r="A8" s="2"/>
      <c r="B8" s="269" t="s">
        <v>2266</v>
      </c>
      <c r="C8" s="2"/>
      <c r="T8" s="214" t="s">
        <v>140</v>
      </c>
      <c r="U8" s="214">
        <v>1</v>
      </c>
      <c r="V8" s="214">
        <v>1</v>
      </c>
      <c r="W8" s="34" t="s">
        <v>1314</v>
      </c>
      <c r="X8" s="771" t="s">
        <v>44</v>
      </c>
      <c r="Y8" s="624"/>
      <c r="Z8" s="624" t="s">
        <v>179</v>
      </c>
      <c r="AA8" s="624" t="s">
        <v>1282</v>
      </c>
      <c r="AB8" s="624" t="s">
        <v>44</v>
      </c>
      <c r="AC8" s="624"/>
      <c r="AD8" s="624"/>
      <c r="AE8" s="624"/>
      <c r="AG8" s="34" t="s">
        <v>439</v>
      </c>
      <c r="AH8" s="38" t="s">
        <v>484</v>
      </c>
      <c r="AI8" s="666" t="str">
        <f>INDEX('HVAC Types'!B$2:B$86,MATCH($AH8,'HVAC Types'!$A$2:$A$86,0))</f>
        <v>Cooling - HVAC Equipment</v>
      </c>
      <c r="AJ8" s="666" t="str">
        <f>INDEX('HVAC Types'!C$2:C$86,MATCH($AH8,'HVAC Types'!$A$2:$A$86,0))</f>
        <v>Air Conditioners</v>
      </c>
      <c r="AK8" s="666" t="str">
        <f>INDEX('HVAC Types'!D$2:D$86,MATCH($AH8,'HVAC Types'!$A$2:$A$86,0))</f>
        <v>ACR Air Cooled AC Split - AC310</v>
      </c>
      <c r="AL8" s="8"/>
      <c r="AM8" s="8"/>
      <c r="AN8" s="65" t="s">
        <v>193</v>
      </c>
      <c r="AO8" s="323">
        <v>16</v>
      </c>
      <c r="AP8" s="322">
        <v>13</v>
      </c>
      <c r="AQ8" s="19"/>
      <c r="AR8" s="19"/>
      <c r="AS8" s="20">
        <v>300</v>
      </c>
      <c r="AT8" s="18">
        <v>10</v>
      </c>
      <c r="AU8" s="19">
        <v>9.4</v>
      </c>
      <c r="AV8" s="19" t="s">
        <v>30</v>
      </c>
      <c r="AW8" s="40" t="s">
        <v>30</v>
      </c>
      <c r="AX8" s="942"/>
      <c r="AY8" s="861" t="s">
        <v>140</v>
      </c>
      <c r="AZ8" s="937">
        <v>17</v>
      </c>
      <c r="BA8" s="938">
        <v>12.6</v>
      </c>
      <c r="BB8" s="863"/>
      <c r="BC8" s="863"/>
      <c r="BD8" s="864">
        <v>0.55000000000000004</v>
      </c>
      <c r="BE8" s="868">
        <v>17.8</v>
      </c>
      <c r="BF8" s="938">
        <v>12.6</v>
      </c>
      <c r="BG8" s="863"/>
      <c r="BH8" s="863"/>
      <c r="BI8" s="865">
        <v>110</v>
      </c>
      <c r="BJ8" s="866"/>
      <c r="BK8" s="866"/>
      <c r="BL8" s="937">
        <v>14.6</v>
      </c>
      <c r="BM8" s="938">
        <v>12.1</v>
      </c>
      <c r="BN8" s="863"/>
      <c r="BO8" s="867"/>
      <c r="BT8" t="s">
        <v>1437</v>
      </c>
      <c r="BU8"/>
      <c r="BV8"/>
      <c r="BW8" s="545">
        <v>8600</v>
      </c>
      <c r="BX8" s="545"/>
      <c r="BY8" s="545" t="s">
        <v>1438</v>
      </c>
      <c r="BZ8" s="545"/>
      <c r="CA8" s="545" t="s">
        <v>1442</v>
      </c>
      <c r="CB8" s="545"/>
      <c r="CC8" s="545" t="s">
        <v>1443</v>
      </c>
      <c r="CD8" s="545" t="s">
        <v>1444</v>
      </c>
      <c r="CE8" s="545"/>
      <c r="CF8" s="545"/>
      <c r="CG8" s="545"/>
      <c r="CH8" s="545"/>
      <c r="CI8" s="545"/>
    </row>
    <row r="9" spans="1:87" ht="14.5" x14ac:dyDescent="0.35">
      <c r="A9" s="2"/>
      <c r="B9" s="2"/>
      <c r="C9" s="2"/>
      <c r="D9" s="44" t="s">
        <v>31</v>
      </c>
      <c r="E9" s="44"/>
      <c r="F9" s="44"/>
      <c r="G9" s="44"/>
      <c r="H9" s="44"/>
      <c r="T9" s="317" t="s">
        <v>139</v>
      </c>
      <c r="U9" s="317">
        <v>1</v>
      </c>
      <c r="V9" s="317">
        <v>1</v>
      </c>
      <c r="W9" s="34" t="s">
        <v>1315</v>
      </c>
      <c r="X9" s="771" t="s">
        <v>44</v>
      </c>
      <c r="Y9" s="627"/>
      <c r="Z9" s="627" t="s">
        <v>179</v>
      </c>
      <c r="AA9" s="627" t="s">
        <v>1282</v>
      </c>
      <c r="AB9" s="627" t="s">
        <v>1283</v>
      </c>
      <c r="AC9" s="627" t="s">
        <v>44</v>
      </c>
      <c r="AD9" s="627"/>
      <c r="AE9" s="627"/>
      <c r="AG9" s="34" t="s">
        <v>450</v>
      </c>
      <c r="AH9" s="38" t="s">
        <v>494</v>
      </c>
      <c r="AI9" s="666" t="str">
        <f>INDEX('HVAC Types'!B$2:B$86,MATCH($AH9,'HVAC Types'!$A$2:$A$86,0))</f>
        <v>Cooling - HVAC Equipment</v>
      </c>
      <c r="AJ9" s="666" t="str">
        <f>INDEX('HVAC Types'!C$2:C$86,MATCH($AH9,'HVAC Types'!$A$2:$A$86,0))</f>
        <v>Air Conditioners</v>
      </c>
      <c r="AK9" s="666" t="str">
        <f>INDEX('HVAC Types'!D$2:D$86,MATCH($AH9,'HVAC Types'!$A$2:$A$86,0))</f>
        <v>ACR Air Cooled AC Split - AC311</v>
      </c>
      <c r="AL9" s="8"/>
      <c r="AM9" s="8"/>
      <c r="AN9" s="65" t="s">
        <v>191</v>
      </c>
      <c r="AO9" s="323">
        <v>16</v>
      </c>
      <c r="AP9" s="322">
        <v>12</v>
      </c>
      <c r="AQ9" s="19"/>
      <c r="AR9" s="19"/>
      <c r="AS9" s="20">
        <v>300</v>
      </c>
      <c r="AT9" s="18" t="s">
        <v>30</v>
      </c>
      <c r="AU9" s="19">
        <v>9</v>
      </c>
      <c r="AV9" s="19" t="s">
        <v>30</v>
      </c>
      <c r="AW9" s="40" t="s">
        <v>30</v>
      </c>
      <c r="AX9" s="942"/>
      <c r="AY9" s="861" t="s">
        <v>139</v>
      </c>
      <c r="AZ9" s="937">
        <v>17</v>
      </c>
      <c r="BA9" s="938">
        <v>12.6</v>
      </c>
      <c r="BB9" s="863"/>
      <c r="BC9" s="863"/>
      <c r="BD9" s="864">
        <v>0.55000000000000004</v>
      </c>
      <c r="BE9" s="868">
        <v>17.8</v>
      </c>
      <c r="BF9" s="938">
        <v>12.6</v>
      </c>
      <c r="BG9" s="863"/>
      <c r="BH9" s="863"/>
      <c r="BI9" s="865">
        <v>110</v>
      </c>
      <c r="BJ9" s="866"/>
      <c r="BK9" s="866"/>
      <c r="BL9" s="937">
        <v>14.6</v>
      </c>
      <c r="BM9" s="938">
        <v>12.1</v>
      </c>
      <c r="BN9" s="863"/>
      <c r="BO9" s="867"/>
      <c r="BT9" s="544" t="s">
        <v>1408</v>
      </c>
      <c r="BU9" s="544" t="s">
        <v>1421</v>
      </c>
      <c r="BV9"/>
      <c r="BW9" s="545">
        <v>8620</v>
      </c>
      <c r="BX9" s="545"/>
      <c r="BY9" s="545"/>
      <c r="BZ9" s="545"/>
      <c r="CA9" s="545"/>
      <c r="CB9" s="545"/>
      <c r="CC9" s="545" t="s">
        <v>1445</v>
      </c>
      <c r="CD9" s="545"/>
      <c r="CE9" s="545"/>
      <c r="CF9" s="545"/>
      <c r="CG9" s="545"/>
      <c r="CH9" s="545"/>
      <c r="CI9" s="545"/>
    </row>
    <row r="10" spans="1:87" ht="14.5" x14ac:dyDescent="0.35">
      <c r="A10" s="2"/>
      <c r="B10" s="217" t="s">
        <v>1275</v>
      </c>
      <c r="C10" s="2"/>
      <c r="D10" s="216" t="s">
        <v>48</v>
      </c>
      <c r="E10" s="216" t="s">
        <v>173</v>
      </c>
      <c r="F10" s="216" t="s">
        <v>91</v>
      </c>
      <c r="G10" s="216" t="s">
        <v>92</v>
      </c>
      <c r="H10" s="241" t="s">
        <v>562</v>
      </c>
      <c r="I10" s="241" t="s">
        <v>563</v>
      </c>
      <c r="J10" s="216" t="s">
        <v>95</v>
      </c>
      <c r="K10" s="216" t="s">
        <v>97</v>
      </c>
      <c r="L10" s="216" t="s">
        <v>874</v>
      </c>
      <c r="M10" s="216" t="s">
        <v>873</v>
      </c>
      <c r="N10" s="216" t="s">
        <v>928</v>
      </c>
      <c r="O10" s="216" t="s">
        <v>929</v>
      </c>
      <c r="P10" s="216" t="s">
        <v>1376</v>
      </c>
      <c r="Q10" s="216" t="s">
        <v>1375</v>
      </c>
      <c r="R10" s="216" t="s">
        <v>1902</v>
      </c>
      <c r="T10" s="317" t="s">
        <v>138</v>
      </c>
      <c r="U10" s="317">
        <v>1</v>
      </c>
      <c r="V10" s="317">
        <v>1</v>
      </c>
      <c r="W10" s="34" t="s">
        <v>1314</v>
      </c>
      <c r="X10" s="771" t="s">
        <v>44</v>
      </c>
      <c r="Y10" s="627"/>
      <c r="Z10" s="627" t="s">
        <v>179</v>
      </c>
      <c r="AA10" s="627" t="s">
        <v>1282</v>
      </c>
      <c r="AB10" s="627" t="s">
        <v>1283</v>
      </c>
      <c r="AC10" s="627" t="s">
        <v>44</v>
      </c>
      <c r="AD10" s="627"/>
      <c r="AE10" s="627"/>
      <c r="AG10" s="34" t="s">
        <v>463</v>
      </c>
      <c r="AH10" s="38" t="s">
        <v>506</v>
      </c>
      <c r="AI10" s="666" t="str">
        <f>INDEX('HVAC Types'!B$2:B$86,MATCH($AH10,'HVAC Types'!$A$2:$A$86,0))</f>
        <v>Cooling - HVAC Equipment</v>
      </c>
      <c r="AJ10" s="666" t="str">
        <f>INDEX('HVAC Types'!C$2:C$86,MATCH($AH10,'HVAC Types'!$A$2:$A$86,0))</f>
        <v>Air Conditioners</v>
      </c>
      <c r="AK10" s="666" t="str">
        <f>INDEX('HVAC Types'!D$2:D$86,MATCH($AH10,'HVAC Types'!$A$2:$A$86,0))</f>
        <v>ACR Air Cooled AC Split - AC312</v>
      </c>
      <c r="AL10" s="8"/>
      <c r="AM10" s="8"/>
      <c r="AN10" s="65" t="s">
        <v>537</v>
      </c>
      <c r="AO10" s="323">
        <v>16</v>
      </c>
      <c r="AP10" s="322">
        <v>12</v>
      </c>
      <c r="AQ10" s="19"/>
      <c r="AR10" s="19"/>
      <c r="AS10" s="20">
        <v>300</v>
      </c>
      <c r="AT10" s="18">
        <v>10</v>
      </c>
      <c r="AU10" s="19">
        <v>9.4</v>
      </c>
      <c r="AV10" s="19" t="s">
        <v>30</v>
      </c>
      <c r="AW10" s="40" t="s">
        <v>30</v>
      </c>
      <c r="AX10" s="942"/>
      <c r="AY10" s="861" t="s">
        <v>138</v>
      </c>
      <c r="AZ10" s="937">
        <v>16.5</v>
      </c>
      <c r="BA10" s="938">
        <v>12.3</v>
      </c>
      <c r="BB10" s="863"/>
      <c r="BC10" s="863"/>
      <c r="BD10" s="864">
        <v>0.55000000000000004</v>
      </c>
      <c r="BE10" s="868">
        <v>16.8</v>
      </c>
      <c r="BF10" s="938">
        <v>12.3</v>
      </c>
      <c r="BG10" s="863"/>
      <c r="BH10" s="863"/>
      <c r="BI10" s="865">
        <v>100</v>
      </c>
      <c r="BJ10" s="869"/>
      <c r="BK10" s="865"/>
      <c r="BL10" s="938">
        <v>14</v>
      </c>
      <c r="BM10" s="938">
        <v>11.8</v>
      </c>
      <c r="BN10" s="863"/>
      <c r="BO10" s="867"/>
      <c r="BT10" s="293" t="s">
        <v>1409</v>
      </c>
      <c r="BU10" s="293" t="s">
        <v>1292</v>
      </c>
      <c r="BV10"/>
      <c r="BW10" s="545">
        <v>8910</v>
      </c>
      <c r="BX10" s="545"/>
      <c r="BY10" s="545"/>
      <c r="BZ10" s="545"/>
      <c r="CA10" s="545"/>
      <c r="CB10" s="545"/>
      <c r="CC10" s="545" t="s">
        <v>1445</v>
      </c>
      <c r="CD10" s="545"/>
      <c r="CE10" s="545"/>
      <c r="CF10" s="545"/>
      <c r="CG10" s="545"/>
      <c r="CH10" s="545"/>
      <c r="CI10" s="545"/>
    </row>
    <row r="11" spans="1:87" ht="14.5" x14ac:dyDescent="0.35">
      <c r="A11" s="2"/>
      <c r="B11" s="269" t="s">
        <v>1276</v>
      </c>
      <c r="C11" s="2"/>
      <c r="D11" s="34"/>
      <c r="E11" s="34"/>
      <c r="F11" s="34"/>
      <c r="G11" s="214"/>
      <c r="H11" s="42"/>
      <c r="J11" s="34"/>
      <c r="K11" s="34"/>
      <c r="L11" s="34"/>
      <c r="M11" s="34"/>
      <c r="N11" s="34"/>
      <c r="O11" s="34"/>
      <c r="P11" s="34"/>
      <c r="Q11" s="34"/>
      <c r="R11" s="34"/>
      <c r="T11" s="317" t="s">
        <v>136</v>
      </c>
      <c r="U11" s="317">
        <v>1</v>
      </c>
      <c r="V11" s="317">
        <v>1</v>
      </c>
      <c r="W11" s="34" t="s">
        <v>1315</v>
      </c>
      <c r="X11" s="771" t="s">
        <v>44</v>
      </c>
      <c r="Y11" s="627"/>
      <c r="Z11" s="627" t="s">
        <v>179</v>
      </c>
      <c r="AA11" s="627" t="s">
        <v>1284</v>
      </c>
      <c r="AB11" s="627" t="s">
        <v>1283</v>
      </c>
      <c r="AC11" s="627" t="s">
        <v>44</v>
      </c>
      <c r="AD11" s="627"/>
      <c r="AE11" s="627"/>
      <c r="AG11" s="34" t="s">
        <v>440</v>
      </c>
      <c r="AH11" s="38" t="s">
        <v>485</v>
      </c>
      <c r="AI11" s="666" t="str">
        <f>INDEX('HVAC Types'!B$2:B$86,MATCH($AH11,'HVAC Types'!$A$2:$A$86,0))</f>
        <v>Cooling - HVAC Equipment</v>
      </c>
      <c r="AJ11" s="666" t="str">
        <f>INDEX('HVAC Types'!C$2:C$86,MATCH($AH11,'HVAC Types'!$A$2:$A$86,0))</f>
        <v>Air Conditioners</v>
      </c>
      <c r="AK11" s="666" t="str">
        <f>INDEX('HVAC Types'!D$2:D$86,MATCH($AH11,'HVAC Types'!$A$2:$A$86,0))</f>
        <v>ACR Air Cooled AC Packaged - AC320</v>
      </c>
      <c r="AL11" s="8"/>
      <c r="AM11" s="8"/>
      <c r="AN11" s="65" t="s">
        <v>611</v>
      </c>
      <c r="AO11" s="323">
        <v>13.8</v>
      </c>
      <c r="AP11" s="19">
        <v>12</v>
      </c>
      <c r="AQ11" s="19"/>
      <c r="AR11" s="19"/>
      <c r="AS11" s="20">
        <v>400</v>
      </c>
      <c r="AT11" s="18" t="s">
        <v>30</v>
      </c>
      <c r="AU11" s="19">
        <v>9</v>
      </c>
      <c r="AV11" s="19" t="s">
        <v>30</v>
      </c>
      <c r="AW11" s="40" t="s">
        <v>30</v>
      </c>
      <c r="AX11" s="942"/>
      <c r="AY11" s="861" t="s">
        <v>136</v>
      </c>
      <c r="AZ11" s="937">
        <v>16.5</v>
      </c>
      <c r="BA11" s="938">
        <v>12.3</v>
      </c>
      <c r="BB11" s="863"/>
      <c r="BC11" s="863"/>
      <c r="BD11" s="864">
        <v>0.55000000000000004</v>
      </c>
      <c r="BE11" s="868">
        <v>16.8</v>
      </c>
      <c r="BF11" s="938">
        <v>12.3</v>
      </c>
      <c r="BG11" s="863"/>
      <c r="BH11" s="863"/>
      <c r="BI11" s="865">
        <v>100</v>
      </c>
      <c r="BJ11" s="869"/>
      <c r="BK11" s="865"/>
      <c r="BL11" s="938">
        <v>14</v>
      </c>
      <c r="BM11" s="938">
        <v>11.8</v>
      </c>
      <c r="BN11" s="863"/>
      <c r="BO11" s="867"/>
      <c r="BT11" s="293" t="s">
        <v>1410</v>
      </c>
      <c r="BU11" s="293" t="s">
        <v>1446</v>
      </c>
      <c r="BV11"/>
      <c r="BW11" s="545" t="s">
        <v>1451</v>
      </c>
      <c r="BX11" s="545"/>
      <c r="BY11" s="545"/>
      <c r="BZ11" s="545"/>
      <c r="CA11" s="545"/>
      <c r="CB11" s="545"/>
      <c r="CC11" s="545" t="s">
        <v>1448</v>
      </c>
      <c r="CD11" s="545"/>
      <c r="CE11" s="545"/>
      <c r="CF11" s="545"/>
      <c r="CG11" s="545"/>
      <c r="CH11" s="545"/>
      <c r="CI11" s="545"/>
    </row>
    <row r="12" spans="1:87" ht="14.5" x14ac:dyDescent="0.35">
      <c r="A12" s="2"/>
      <c r="B12" s="269" t="s">
        <v>1277</v>
      </c>
      <c r="C12" s="2"/>
      <c r="D12" s="34" t="s">
        <v>177</v>
      </c>
      <c r="E12" s="34" t="s">
        <v>90</v>
      </c>
      <c r="F12" s="34" t="s">
        <v>90</v>
      </c>
      <c r="G12" s="11" t="s">
        <v>25</v>
      </c>
      <c r="H12" s="34" t="s">
        <v>96</v>
      </c>
      <c r="I12" s="40" t="s">
        <v>90</v>
      </c>
      <c r="J12" s="34" t="s">
        <v>90</v>
      </c>
      <c r="K12" s="34" t="s">
        <v>96</v>
      </c>
      <c r="L12" s="34" t="s">
        <v>90</v>
      </c>
      <c r="M12" s="34" t="s">
        <v>96</v>
      </c>
      <c r="N12" s="34" t="s">
        <v>1239</v>
      </c>
      <c r="O12" s="34" t="s">
        <v>1239</v>
      </c>
      <c r="P12" s="34" t="s">
        <v>25</v>
      </c>
      <c r="Q12" s="34" t="s">
        <v>25</v>
      </c>
      <c r="R12" s="34" t="s">
        <v>25</v>
      </c>
      <c r="T12" s="317" t="s">
        <v>135</v>
      </c>
      <c r="U12" s="317">
        <v>1</v>
      </c>
      <c r="V12" s="317">
        <v>1</v>
      </c>
      <c r="W12" s="34" t="s">
        <v>1314</v>
      </c>
      <c r="X12" s="771" t="s">
        <v>44</v>
      </c>
      <c r="Y12" s="627"/>
      <c r="Z12" s="627" t="s">
        <v>179</v>
      </c>
      <c r="AA12" s="627" t="s">
        <v>1284</v>
      </c>
      <c r="AB12" s="627" t="s">
        <v>1283</v>
      </c>
      <c r="AC12" s="627" t="s">
        <v>44</v>
      </c>
      <c r="AD12" s="627"/>
      <c r="AE12" s="627"/>
      <c r="AG12" s="34" t="s">
        <v>451</v>
      </c>
      <c r="AH12" s="38" t="s">
        <v>495</v>
      </c>
      <c r="AI12" s="666" t="str">
        <f>INDEX('HVAC Types'!B$2:B$86,MATCH($AH12,'HVAC Types'!$A$2:$A$86,0))</f>
        <v>Cooling - HVAC Equipment</v>
      </c>
      <c r="AJ12" s="666" t="str">
        <f>INDEX('HVAC Types'!C$2:C$86,MATCH($AH12,'HVAC Types'!$A$2:$A$86,0))</f>
        <v>Air Conditioners</v>
      </c>
      <c r="AK12" s="666" t="str">
        <f>INDEX('HVAC Types'!D$2:D$86,MATCH($AH12,'HVAC Types'!$A$2:$A$86,0))</f>
        <v>ACR Air Cooled AC Packaged - AC321</v>
      </c>
      <c r="AL12" s="8"/>
      <c r="AM12" s="8"/>
      <c r="AN12" s="65" t="s">
        <v>202</v>
      </c>
      <c r="AO12" s="323">
        <v>13.8</v>
      </c>
      <c r="AP12" s="19">
        <v>12</v>
      </c>
      <c r="AQ12" s="19"/>
      <c r="AR12" s="19"/>
      <c r="AS12" s="20">
        <v>400</v>
      </c>
      <c r="AT12" s="18">
        <v>10.3</v>
      </c>
      <c r="AU12" s="341">
        <v>10.1</v>
      </c>
      <c r="AV12" s="19" t="s">
        <v>30</v>
      </c>
      <c r="AW12" s="40" t="s">
        <v>30</v>
      </c>
      <c r="AX12" s="942"/>
      <c r="AY12" s="861" t="s">
        <v>135</v>
      </c>
      <c r="AZ12" s="937">
        <v>16</v>
      </c>
      <c r="BA12" s="938">
        <v>11.5</v>
      </c>
      <c r="BB12" s="863"/>
      <c r="BC12" s="863"/>
      <c r="BD12" s="864">
        <v>0.55000000000000004</v>
      </c>
      <c r="BE12" s="990">
        <v>16.5</v>
      </c>
      <c r="BF12" s="991">
        <v>11.8</v>
      </c>
      <c r="BG12" s="863"/>
      <c r="BH12" s="863"/>
      <c r="BI12" s="865">
        <v>90</v>
      </c>
      <c r="BJ12" s="869"/>
      <c r="BK12" s="865"/>
      <c r="BL12" s="938">
        <v>13</v>
      </c>
      <c r="BM12" s="938">
        <v>11.2</v>
      </c>
      <c r="BN12" s="863"/>
      <c r="BO12" s="867"/>
      <c r="BT12" s="293" t="s">
        <v>1411</v>
      </c>
      <c r="BU12" s="293" t="s">
        <v>1447</v>
      </c>
      <c r="BV12"/>
      <c r="BW12" s="545" t="s">
        <v>1453</v>
      </c>
      <c r="BX12" s="545"/>
      <c r="BY12" s="545"/>
      <c r="BZ12" s="545"/>
      <c r="CA12" s="545"/>
      <c r="CB12" s="545"/>
      <c r="CC12" s="545" t="s">
        <v>1729</v>
      </c>
      <c r="CD12" s="545"/>
      <c r="CE12" s="545"/>
      <c r="CF12" s="545"/>
      <c r="CG12" s="545"/>
      <c r="CH12" s="545"/>
      <c r="CI12" s="545"/>
    </row>
    <row r="13" spans="1:87" ht="14.5" x14ac:dyDescent="0.35">
      <c r="A13" s="2"/>
      <c r="B13" s="269" t="s">
        <v>1278</v>
      </c>
      <c r="C13" s="2"/>
      <c r="D13" s="34"/>
      <c r="E13" s="34"/>
      <c r="F13" s="34" t="s">
        <v>98</v>
      </c>
      <c r="G13" s="214"/>
      <c r="H13" s="34"/>
      <c r="J13" s="34" t="s">
        <v>98</v>
      </c>
      <c r="K13" s="34"/>
      <c r="L13" s="34" t="s">
        <v>98</v>
      </c>
      <c r="M13" s="34"/>
      <c r="N13" s="305" t="s">
        <v>1237</v>
      </c>
      <c r="O13" s="305" t="s">
        <v>1237</v>
      </c>
      <c r="P13" s="305"/>
      <c r="Q13" s="305"/>
      <c r="R13" s="305"/>
      <c r="T13" s="317" t="s">
        <v>134</v>
      </c>
      <c r="U13" s="317">
        <v>1</v>
      </c>
      <c r="V13" s="317">
        <v>1</v>
      </c>
      <c r="W13" s="34" t="s">
        <v>1315</v>
      </c>
      <c r="X13" s="771" t="s">
        <v>44</v>
      </c>
      <c r="Y13" s="627"/>
      <c r="Z13" s="627" t="s">
        <v>179</v>
      </c>
      <c r="AA13" s="627" t="s">
        <v>1282</v>
      </c>
      <c r="AB13" s="627" t="s">
        <v>1283</v>
      </c>
      <c r="AC13" s="627" t="s">
        <v>44</v>
      </c>
      <c r="AD13" s="627"/>
      <c r="AE13" s="627"/>
      <c r="AG13" s="34" t="s">
        <v>464</v>
      </c>
      <c r="AH13" s="38" t="s">
        <v>507</v>
      </c>
      <c r="AI13" s="666" t="str">
        <f>INDEX('HVAC Types'!B$2:B$86,MATCH($AH13,'HVAC Types'!$A$2:$A$86,0))</f>
        <v>Cooling - HVAC Equipment</v>
      </c>
      <c r="AJ13" s="666" t="str">
        <f>INDEX('HVAC Types'!C$2:C$86,MATCH($AH13,'HVAC Types'!$A$2:$A$86,0))</f>
        <v>Air Conditioners</v>
      </c>
      <c r="AK13" s="666" t="str">
        <f>INDEX('HVAC Types'!D$2:D$86,MATCH($AH13,'HVAC Types'!$A$2:$A$86,0))</f>
        <v>ACR Air Cooled AC Packaged - AC322</v>
      </c>
      <c r="AL13" s="8"/>
      <c r="AM13" s="8"/>
      <c r="AN13" s="65" t="s">
        <v>203</v>
      </c>
      <c r="AO13" s="323">
        <v>13.8</v>
      </c>
      <c r="AP13" s="19">
        <v>12</v>
      </c>
      <c r="AQ13" s="19"/>
      <c r="AR13" s="19"/>
      <c r="AS13" s="20">
        <v>400</v>
      </c>
      <c r="AT13" s="18">
        <v>10.3</v>
      </c>
      <c r="AU13" s="341">
        <v>10.1</v>
      </c>
      <c r="AV13" s="19" t="s">
        <v>30</v>
      </c>
      <c r="AW13" s="40" t="s">
        <v>30</v>
      </c>
      <c r="AX13" s="942"/>
      <c r="AY13" s="861" t="s">
        <v>134</v>
      </c>
      <c r="AZ13" s="937">
        <v>16</v>
      </c>
      <c r="BA13" s="938">
        <v>11.5</v>
      </c>
      <c r="BB13" s="863"/>
      <c r="BC13" s="863"/>
      <c r="BD13" s="864">
        <v>0.55000000000000004</v>
      </c>
      <c r="BE13" s="990">
        <v>16.5</v>
      </c>
      <c r="BF13" s="991">
        <v>11.8</v>
      </c>
      <c r="BG13" s="863"/>
      <c r="BH13" s="863"/>
      <c r="BI13" s="865">
        <v>90</v>
      </c>
      <c r="BJ13" s="869"/>
      <c r="BK13" s="865"/>
      <c r="BL13" s="938">
        <v>13</v>
      </c>
      <c r="BM13" s="938">
        <v>11.2</v>
      </c>
      <c r="BN13" s="863"/>
      <c r="BO13" s="867"/>
      <c r="BT13" s="293" t="s">
        <v>1412</v>
      </c>
      <c r="BU13" s="293" t="s">
        <v>1449</v>
      </c>
      <c r="BV13"/>
      <c r="BW13" s="545" t="s">
        <v>1455</v>
      </c>
      <c r="BX13" s="545"/>
      <c r="BY13" s="545"/>
      <c r="BZ13" s="545"/>
      <c r="CA13" s="545"/>
      <c r="CB13" s="545"/>
      <c r="CC13" s="545" t="s">
        <v>1730</v>
      </c>
      <c r="CD13" s="545"/>
      <c r="CE13" s="545"/>
      <c r="CF13" s="545"/>
      <c r="CG13" s="545"/>
      <c r="CH13" s="545"/>
      <c r="CI13" s="545"/>
    </row>
    <row r="14" spans="1:87" ht="14.5" x14ac:dyDescent="0.35">
      <c r="A14" s="2"/>
      <c r="B14" s="269" t="s">
        <v>1279</v>
      </c>
      <c r="C14" s="2"/>
      <c r="D14" s="34"/>
      <c r="E14" s="34"/>
      <c r="F14" s="34" t="s">
        <v>93</v>
      </c>
      <c r="G14" s="214"/>
      <c r="H14" s="34"/>
      <c r="J14" s="34" t="s">
        <v>93</v>
      </c>
      <c r="K14" s="34"/>
      <c r="L14" s="34" t="s">
        <v>93</v>
      </c>
      <c r="M14" s="34"/>
      <c r="N14" s="305" t="s">
        <v>1238</v>
      </c>
      <c r="O14" s="305" t="s">
        <v>1238</v>
      </c>
      <c r="P14" s="305"/>
      <c r="Q14" s="305"/>
      <c r="R14" s="305"/>
      <c r="T14" s="317" t="s">
        <v>133</v>
      </c>
      <c r="U14" s="317">
        <v>1</v>
      </c>
      <c r="V14" s="317">
        <v>1</v>
      </c>
      <c r="W14" s="34" t="s">
        <v>1314</v>
      </c>
      <c r="X14" s="771" t="s">
        <v>44</v>
      </c>
      <c r="Y14" s="627"/>
      <c r="Z14" s="627" t="s">
        <v>179</v>
      </c>
      <c r="AA14" s="627" t="s">
        <v>1282</v>
      </c>
      <c r="AB14" s="627" t="s">
        <v>1283</v>
      </c>
      <c r="AC14" s="627" t="s">
        <v>44</v>
      </c>
      <c r="AD14" s="627"/>
      <c r="AE14" s="627"/>
      <c r="AG14" s="34" t="s">
        <v>441</v>
      </c>
      <c r="AH14" s="38" t="s">
        <v>486</v>
      </c>
      <c r="AI14" s="666" t="str">
        <f>INDEX('HVAC Types'!B$2:B$86,MATCH($AH14,'HVAC Types'!$A$2:$A$86,0))</f>
        <v>Cooling - HVAC Equipment</v>
      </c>
      <c r="AJ14" s="666" t="str">
        <f>INDEX('HVAC Types'!C$2:C$86,MATCH($AH14,'HVAC Types'!$A$2:$A$86,0))</f>
        <v>Air Conditioners</v>
      </c>
      <c r="AK14" s="666" t="str">
        <f>INDEX('HVAC Types'!D$2:D$86,MATCH($AH14,'HVAC Types'!$A$2:$A$86,0))</f>
        <v>ACR Packaged Air Conditioner - AC410</v>
      </c>
      <c r="AL14" s="8"/>
      <c r="AM14" s="8"/>
      <c r="AN14" s="65" t="s">
        <v>619</v>
      </c>
      <c r="AO14" s="323">
        <v>13.8</v>
      </c>
      <c r="AP14" s="19">
        <v>12</v>
      </c>
      <c r="AQ14" s="19"/>
      <c r="AR14" s="19"/>
      <c r="AS14" s="20">
        <v>400</v>
      </c>
      <c r="AT14" s="18">
        <v>10.3</v>
      </c>
      <c r="AU14" s="341">
        <v>10.1</v>
      </c>
      <c r="AV14" s="19" t="s">
        <v>30</v>
      </c>
      <c r="AW14" s="40" t="s">
        <v>30</v>
      </c>
      <c r="AX14" s="936"/>
      <c r="AY14" s="861" t="s">
        <v>133</v>
      </c>
      <c r="AZ14" s="868">
        <v>11.4</v>
      </c>
      <c r="BA14" s="863">
        <v>9.6999999999999993</v>
      </c>
      <c r="BB14" s="863"/>
      <c r="BC14" s="863"/>
      <c r="BD14" s="864">
        <v>0.55000000000000004</v>
      </c>
      <c r="BE14" s="868">
        <v>12.1</v>
      </c>
      <c r="BF14" s="863">
        <v>10.199999999999999</v>
      </c>
      <c r="BG14" s="863"/>
      <c r="BH14" s="863"/>
      <c r="BI14" s="865">
        <v>50</v>
      </c>
      <c r="BJ14" s="869"/>
      <c r="BK14" s="865"/>
      <c r="BL14" s="863">
        <v>11</v>
      </c>
      <c r="BM14" s="863">
        <v>9.5</v>
      </c>
      <c r="BN14" s="863"/>
      <c r="BO14" s="867"/>
      <c r="BT14" s="293" t="s">
        <v>1292</v>
      </c>
      <c r="BU14" s="293" t="s">
        <v>1450</v>
      </c>
      <c r="BV14"/>
      <c r="BW14" s="545" t="s">
        <v>1456</v>
      </c>
      <c r="BX14" s="545"/>
      <c r="BY14" s="545"/>
      <c r="BZ14" s="545"/>
      <c r="CA14" s="545"/>
      <c r="CB14" s="545"/>
      <c r="CC14" s="545"/>
      <c r="CD14" s="545"/>
      <c r="CE14" s="545"/>
      <c r="CF14" s="545"/>
      <c r="CG14" s="545"/>
      <c r="CH14" s="545"/>
      <c r="CI14" s="545"/>
    </row>
    <row r="15" spans="1:87" ht="15" thickBot="1" x14ac:dyDescent="0.4">
      <c r="A15" s="2"/>
      <c r="B15" s="269" t="s">
        <v>180</v>
      </c>
      <c r="C15" s="2"/>
      <c r="D15" s="34"/>
      <c r="E15" s="34"/>
      <c r="F15" s="34" t="s">
        <v>94</v>
      </c>
      <c r="G15" s="214"/>
      <c r="H15" s="34"/>
      <c r="J15" s="34" t="s">
        <v>94</v>
      </c>
      <c r="K15" s="34"/>
      <c r="L15" s="34" t="s">
        <v>866</v>
      </c>
      <c r="M15" s="34"/>
      <c r="N15" s="34"/>
      <c r="O15" s="306"/>
      <c r="P15" s="306"/>
      <c r="Q15" s="306"/>
      <c r="R15" s="306"/>
      <c r="T15" s="317" t="s">
        <v>132</v>
      </c>
      <c r="U15" s="317">
        <v>1</v>
      </c>
      <c r="V15" s="317">
        <v>1</v>
      </c>
      <c r="W15" s="34" t="s">
        <v>1315</v>
      </c>
      <c r="X15" s="771" t="s">
        <v>44</v>
      </c>
      <c r="Y15" s="627"/>
      <c r="Z15" s="627" t="s">
        <v>179</v>
      </c>
      <c r="AA15" s="627" t="s">
        <v>1282</v>
      </c>
      <c r="AB15" s="627" t="s">
        <v>1283</v>
      </c>
      <c r="AC15" s="627" t="s">
        <v>44</v>
      </c>
      <c r="AD15" s="627"/>
      <c r="AE15" s="627"/>
      <c r="AG15" s="34" t="s">
        <v>452</v>
      </c>
      <c r="AH15" s="38" t="s">
        <v>496</v>
      </c>
      <c r="AI15" s="666" t="str">
        <f>INDEX('HVAC Types'!B$2:B$86,MATCH($AH15,'HVAC Types'!$A$2:$A$86,0))</f>
        <v>Cooling - HVAC Equipment</v>
      </c>
      <c r="AJ15" s="666" t="str">
        <f>INDEX('HVAC Types'!C$2:C$86,MATCH($AH15,'HVAC Types'!$A$2:$A$86,0))</f>
        <v>Air Conditioners</v>
      </c>
      <c r="AK15" s="666" t="str">
        <f>INDEX('HVAC Types'!D$2:D$86,MATCH($AH15,'HVAC Types'!$A$2:$A$86,0))</f>
        <v>ACR Air Cooled AC Split - AC411</v>
      </c>
      <c r="AL15" s="8"/>
      <c r="AM15" s="8"/>
      <c r="AN15" s="65" t="s">
        <v>612</v>
      </c>
      <c r="AO15" s="321">
        <v>13.8</v>
      </c>
      <c r="AP15" s="19">
        <v>12</v>
      </c>
      <c r="AQ15" s="19"/>
      <c r="AR15" s="19"/>
      <c r="AS15" s="20">
        <v>400</v>
      </c>
      <c r="AT15" s="18">
        <v>10.3</v>
      </c>
      <c r="AU15" s="341">
        <v>10.1</v>
      </c>
      <c r="AV15" s="19" t="s">
        <v>30</v>
      </c>
      <c r="AW15" s="40" t="s">
        <v>30</v>
      </c>
      <c r="AX15" s="936"/>
      <c r="AY15" s="870" t="s">
        <v>132</v>
      </c>
      <c r="AZ15" s="871">
        <v>11.4</v>
      </c>
      <c r="BA15" s="872">
        <v>9.6999999999999993</v>
      </c>
      <c r="BB15" s="872"/>
      <c r="BC15" s="872"/>
      <c r="BD15" s="873">
        <v>0.55000000000000004</v>
      </c>
      <c r="BE15" s="871">
        <v>12.1</v>
      </c>
      <c r="BF15" s="872">
        <v>10.199999999999999</v>
      </c>
      <c r="BG15" s="872"/>
      <c r="BH15" s="872"/>
      <c r="BI15" s="874">
        <v>50</v>
      </c>
      <c r="BJ15" s="875"/>
      <c r="BK15" s="874"/>
      <c r="BL15" s="872">
        <v>11</v>
      </c>
      <c r="BM15" s="872">
        <v>9.5</v>
      </c>
      <c r="BN15" s="872"/>
      <c r="BO15" s="876"/>
      <c r="BT15" s="293" t="s">
        <v>1413</v>
      </c>
      <c r="BU15" s="293" t="s">
        <v>1452</v>
      </c>
      <c r="BV15"/>
      <c r="BW15" s="545">
        <v>8800</v>
      </c>
      <c r="BX15" s="545"/>
      <c r="BY15" s="545"/>
      <c r="BZ15" s="545"/>
      <c r="CA15" s="545"/>
      <c r="CB15" s="545"/>
      <c r="CC15" s="545"/>
      <c r="CD15" s="545"/>
      <c r="CE15" s="545"/>
      <c r="CF15" s="545"/>
      <c r="CG15" s="545"/>
      <c r="CH15" s="545"/>
      <c r="CI15" s="545"/>
    </row>
    <row r="16" spans="1:87" ht="14.5" x14ac:dyDescent="0.35">
      <c r="A16" s="2"/>
      <c r="B16" s="269" t="s">
        <v>44</v>
      </c>
      <c r="C16" s="2"/>
      <c r="D16" s="34"/>
      <c r="E16" s="34"/>
      <c r="F16" s="34"/>
      <c r="G16" s="214"/>
      <c r="H16" s="34"/>
      <c r="J16" s="34"/>
      <c r="K16" s="34"/>
      <c r="L16" s="34"/>
      <c r="M16" s="34"/>
      <c r="N16" s="34"/>
      <c r="O16" s="34"/>
      <c r="P16" s="34"/>
      <c r="Q16" s="34"/>
      <c r="R16" s="34"/>
      <c r="T16" s="214" t="s">
        <v>131</v>
      </c>
      <c r="U16" s="624">
        <v>2</v>
      </c>
      <c r="V16" s="624">
        <v>2</v>
      </c>
      <c r="W16" s="624" t="s">
        <v>1314</v>
      </c>
      <c r="X16" s="771" t="s">
        <v>44</v>
      </c>
      <c r="Y16" s="624"/>
      <c r="Z16" s="624" t="s">
        <v>1282</v>
      </c>
      <c r="AA16" s="624" t="s">
        <v>1283</v>
      </c>
      <c r="AB16" s="624" t="s">
        <v>44</v>
      </c>
      <c r="AC16" s="624"/>
      <c r="AD16" s="624"/>
      <c r="AE16" s="624"/>
      <c r="AG16" s="34" t="s">
        <v>465</v>
      </c>
      <c r="AH16" s="38" t="s">
        <v>508</v>
      </c>
      <c r="AI16" s="666" t="str">
        <f>INDEX('HVAC Types'!B$2:B$86,MATCH($AH16,'HVAC Types'!$A$2:$A$86,0))</f>
        <v>Cooling - HVAC Equipment</v>
      </c>
      <c r="AJ16" s="666" t="str">
        <f>INDEX('HVAC Types'!C$2:C$86,MATCH($AH16,'HVAC Types'!$A$2:$A$86,0))</f>
        <v>Air Conditioners</v>
      </c>
      <c r="AK16" s="666" t="str">
        <f>INDEX('HVAC Types'!D$2:D$86,MATCH($AH16,'HVAC Types'!$A$2:$A$86,0))</f>
        <v>ACR Air Cooled AC Split - AC412</v>
      </c>
      <c r="AL16" s="8"/>
      <c r="AM16" s="8"/>
      <c r="AN16" s="65" t="s">
        <v>204</v>
      </c>
      <c r="AO16" s="321">
        <v>13.8</v>
      </c>
      <c r="AP16" s="19">
        <v>12</v>
      </c>
      <c r="AQ16" s="19"/>
      <c r="AR16" s="19"/>
      <c r="AS16" s="20">
        <v>400</v>
      </c>
      <c r="AT16" s="18">
        <v>10.3</v>
      </c>
      <c r="AU16" s="341">
        <v>10.1</v>
      </c>
      <c r="AV16" s="19" t="s">
        <v>30</v>
      </c>
      <c r="AW16" s="40" t="s">
        <v>30</v>
      </c>
      <c r="AX16" s="936"/>
      <c r="AY16" s="877" t="s">
        <v>131</v>
      </c>
      <c r="AZ16" s="878"/>
      <c r="BA16" s="879">
        <v>14</v>
      </c>
      <c r="BB16" s="879"/>
      <c r="BC16" s="879"/>
      <c r="BD16" s="880">
        <v>0.55000000000000004</v>
      </c>
      <c r="BE16" s="878" t="s">
        <v>30</v>
      </c>
      <c r="BF16" s="879" t="s">
        <v>30</v>
      </c>
      <c r="BG16" s="879" t="s">
        <v>30</v>
      </c>
      <c r="BH16" s="879" t="s">
        <v>30</v>
      </c>
      <c r="BI16" s="881" t="s">
        <v>30</v>
      </c>
      <c r="BJ16" s="882"/>
      <c r="BK16" s="882"/>
      <c r="BL16" s="878"/>
      <c r="BM16" s="879">
        <v>12.1</v>
      </c>
      <c r="BN16" s="879"/>
      <c r="BO16" s="883"/>
      <c r="BT16" s="293" t="s">
        <v>1414</v>
      </c>
      <c r="BU16" s="293" t="s">
        <v>1454</v>
      </c>
      <c r="BV16"/>
      <c r="BW16" s="545">
        <v>8810</v>
      </c>
      <c r="BX16" s="545"/>
      <c r="BY16" s="545"/>
      <c r="BZ16" s="545"/>
      <c r="CA16" s="545"/>
      <c r="CB16" s="545"/>
      <c r="CC16" s="545"/>
      <c r="CD16" s="545"/>
      <c r="CE16" s="545"/>
      <c r="CF16" s="545"/>
      <c r="CG16" s="545"/>
      <c r="CH16" s="545"/>
      <c r="CI16" s="545"/>
    </row>
    <row r="17" spans="1:87" ht="15" thickBot="1" x14ac:dyDescent="0.4">
      <c r="A17" s="2"/>
      <c r="B17" s="269"/>
      <c r="C17" s="2"/>
      <c r="D17" s="32"/>
      <c r="E17" s="32"/>
      <c r="F17" s="32"/>
      <c r="G17" s="215"/>
      <c r="H17" s="32"/>
      <c r="I17" s="37"/>
      <c r="J17" s="32"/>
      <c r="K17" s="32"/>
      <c r="L17" s="32"/>
      <c r="M17" s="32"/>
      <c r="N17" s="32"/>
      <c r="O17" s="32"/>
      <c r="P17" s="32"/>
      <c r="Q17" s="32"/>
      <c r="R17" s="32"/>
      <c r="T17" s="624" t="s">
        <v>190</v>
      </c>
      <c r="U17" s="624">
        <v>2</v>
      </c>
      <c r="V17" s="624">
        <v>2</v>
      </c>
      <c r="W17" s="624" t="s">
        <v>1315</v>
      </c>
      <c r="X17" s="771" t="s">
        <v>44</v>
      </c>
      <c r="Y17" s="624"/>
      <c r="Z17" s="624" t="s">
        <v>1282</v>
      </c>
      <c r="AA17" s="624" t="s">
        <v>1283</v>
      </c>
      <c r="AB17" s="624" t="s">
        <v>44</v>
      </c>
      <c r="AC17" s="624"/>
      <c r="AD17" s="624"/>
      <c r="AE17" s="624"/>
      <c r="AG17" s="34" t="s">
        <v>442</v>
      </c>
      <c r="AH17" s="38" t="s">
        <v>487</v>
      </c>
      <c r="AI17" s="666" t="str">
        <f>INDEX('HVAC Types'!B$2:B$86,MATCH($AH17,'HVAC Types'!$A$2:$A$86,0))</f>
        <v>Cooling - HVAC Equipment</v>
      </c>
      <c r="AJ17" s="666" t="str">
        <f>INDEX('HVAC Types'!C$2:C$86,MATCH($AH17,'HVAC Types'!$A$2:$A$86,0))</f>
        <v>Air Conditioners</v>
      </c>
      <c r="AK17" s="666" t="str">
        <f>INDEX('HVAC Types'!D$2:D$86,MATCH($AH17,'HVAC Types'!$A$2:$A$86,0))</f>
        <v>ACR Air Cooled AC Packaged - AC420</v>
      </c>
      <c r="AL17" s="8"/>
      <c r="AM17" s="8"/>
      <c r="AN17" s="65" t="s">
        <v>205</v>
      </c>
      <c r="AO17" s="321">
        <v>13.8</v>
      </c>
      <c r="AP17" s="19">
        <v>12</v>
      </c>
      <c r="AQ17" s="19"/>
      <c r="AR17" s="19"/>
      <c r="AS17" s="20">
        <v>400</v>
      </c>
      <c r="AT17" s="18">
        <v>10.3</v>
      </c>
      <c r="AU17" s="341">
        <v>10.1</v>
      </c>
      <c r="AV17" s="19" t="s">
        <v>30</v>
      </c>
      <c r="AW17" s="40" t="s">
        <v>30</v>
      </c>
      <c r="AX17" s="936"/>
      <c r="AY17" s="884" t="s">
        <v>190</v>
      </c>
      <c r="AZ17" s="885"/>
      <c r="BA17" s="886">
        <v>14</v>
      </c>
      <c r="BB17" s="886"/>
      <c r="BC17" s="886"/>
      <c r="BD17" s="887">
        <v>0.55000000000000004</v>
      </c>
      <c r="BE17" s="885" t="s">
        <v>30</v>
      </c>
      <c r="BF17" s="886" t="s">
        <v>30</v>
      </c>
      <c r="BG17" s="886" t="s">
        <v>30</v>
      </c>
      <c r="BH17" s="886" t="s">
        <v>30</v>
      </c>
      <c r="BI17" s="888" t="s">
        <v>30</v>
      </c>
      <c r="BJ17" s="889"/>
      <c r="BK17" s="889"/>
      <c r="BL17" s="885"/>
      <c r="BM17" s="886">
        <v>12.1</v>
      </c>
      <c r="BN17" s="886"/>
      <c r="BO17" s="890"/>
      <c r="BT17" s="293" t="s">
        <v>1415</v>
      </c>
      <c r="BU17" s="293" t="s">
        <v>1416</v>
      </c>
      <c r="BV17"/>
      <c r="BW17" s="545">
        <v>8820</v>
      </c>
      <c r="BX17" s="545"/>
      <c r="BY17" s="545"/>
      <c r="BZ17" s="545"/>
      <c r="CA17" s="545"/>
      <c r="CB17" s="545"/>
      <c r="CC17" s="545"/>
      <c r="CD17" s="545"/>
      <c r="CE17" s="545"/>
      <c r="CF17" s="545"/>
      <c r="CG17" s="545"/>
      <c r="CH17" s="545"/>
      <c r="CI17" s="545"/>
    </row>
    <row r="18" spans="1:87" ht="15" thickBot="1" x14ac:dyDescent="0.4">
      <c r="A18" s="2"/>
      <c r="B18" s="2"/>
      <c r="C18" s="2"/>
      <c r="T18" s="624" t="s">
        <v>565</v>
      </c>
      <c r="U18" s="624">
        <v>4</v>
      </c>
      <c r="V18" s="624">
        <v>3</v>
      </c>
      <c r="W18" s="624" t="s">
        <v>1316</v>
      </c>
      <c r="X18" s="627" t="s">
        <v>1588</v>
      </c>
      <c r="Y18" s="624"/>
      <c r="Z18" s="624" t="s">
        <v>179</v>
      </c>
      <c r="AA18" s="624" t="s">
        <v>173</v>
      </c>
      <c r="AB18" s="624" t="s">
        <v>1285</v>
      </c>
      <c r="AC18" s="624" t="s">
        <v>44</v>
      </c>
      <c r="AD18" s="624"/>
      <c r="AE18" s="624"/>
      <c r="AG18" s="34" t="s">
        <v>453</v>
      </c>
      <c r="AH18" s="38" t="s">
        <v>497</v>
      </c>
      <c r="AI18" s="666" t="str">
        <f>INDEX('HVAC Types'!B$2:B$86,MATCH($AH18,'HVAC Types'!$A$2:$A$86,0))</f>
        <v>Cooling - HVAC Equipment</v>
      </c>
      <c r="AJ18" s="666" t="str">
        <f>INDEX('HVAC Types'!C$2:C$86,MATCH($AH18,'HVAC Types'!$A$2:$A$86,0))</f>
        <v>Air Conditioners</v>
      </c>
      <c r="AK18" s="666" t="str">
        <f>INDEX('HVAC Types'!D$2:D$86,MATCH($AH18,'HVAC Types'!$A$2:$A$86,0))</f>
        <v>ACR Air Cooled AC Packaged - AC421</v>
      </c>
      <c r="AL18" s="8"/>
      <c r="AM18" s="8"/>
      <c r="AN18" s="65" t="s">
        <v>620</v>
      </c>
      <c r="AO18" s="321">
        <v>13.8</v>
      </c>
      <c r="AP18" s="19">
        <v>12</v>
      </c>
      <c r="AQ18" s="19"/>
      <c r="AR18" s="19"/>
      <c r="AS18" s="20">
        <v>400</v>
      </c>
      <c r="AT18" s="18">
        <v>10.3</v>
      </c>
      <c r="AU18" s="341">
        <v>10.1</v>
      </c>
      <c r="AV18" s="19" t="s">
        <v>30</v>
      </c>
      <c r="AW18" s="40" t="s">
        <v>30</v>
      </c>
      <c r="AX18" s="942"/>
      <c r="AY18" s="891" t="s">
        <v>565</v>
      </c>
      <c r="AZ18" s="892">
        <v>15</v>
      </c>
      <c r="BA18" s="893">
        <v>12.5</v>
      </c>
      <c r="BB18" s="893">
        <v>8.5</v>
      </c>
      <c r="BC18" s="893"/>
      <c r="BD18" s="894">
        <v>2</v>
      </c>
      <c r="BE18" s="892">
        <v>16</v>
      </c>
      <c r="BF18" s="893">
        <v>13</v>
      </c>
      <c r="BG18" s="893">
        <v>9</v>
      </c>
      <c r="BH18" s="893"/>
      <c r="BI18" s="895">
        <v>230</v>
      </c>
      <c r="BJ18" s="896"/>
      <c r="BK18" s="896"/>
      <c r="BL18" s="947">
        <v>13</v>
      </c>
      <c r="BM18" s="946">
        <v>11.2</v>
      </c>
      <c r="BN18" s="893">
        <v>8.1999999999999993</v>
      </c>
      <c r="BO18" s="897">
        <v>2.4032825322391558</v>
      </c>
      <c r="BT18" s="293" t="s">
        <v>1416</v>
      </c>
      <c r="BU18" s="293" t="s">
        <v>1457</v>
      </c>
      <c r="BV18"/>
      <c r="BW18" s="545">
        <v>8830</v>
      </c>
      <c r="BX18" s="545"/>
      <c r="BY18" s="545"/>
      <c r="BZ18" s="545"/>
      <c r="CA18" s="545"/>
      <c r="CB18" s="545"/>
      <c r="CC18" s="545"/>
      <c r="CD18" s="545"/>
      <c r="CE18" s="545"/>
      <c r="CF18" s="545"/>
      <c r="CG18" s="545"/>
      <c r="CH18" s="545"/>
      <c r="CI18" s="545"/>
    </row>
    <row r="19" spans="1:87" ht="14.5" x14ac:dyDescent="0.35">
      <c r="B19" s="504" t="s">
        <v>1849</v>
      </c>
      <c r="C19" s="2"/>
      <c r="D19" s="44" t="s">
        <v>33</v>
      </c>
      <c r="E19" s="44"/>
      <c r="H19" s="985" t="s">
        <v>2316</v>
      </c>
      <c r="I19" s="985" t="s">
        <v>2316</v>
      </c>
      <c r="K19" s="44" t="s">
        <v>39</v>
      </c>
      <c r="T19" s="624" t="s">
        <v>130</v>
      </c>
      <c r="U19" s="624">
        <v>4</v>
      </c>
      <c r="V19" s="624">
        <v>3</v>
      </c>
      <c r="W19" s="624" t="s">
        <v>1317</v>
      </c>
      <c r="X19" s="627" t="s">
        <v>1588</v>
      </c>
      <c r="Y19" s="624"/>
      <c r="Z19" s="624" t="s">
        <v>1282</v>
      </c>
      <c r="AA19" s="624" t="s">
        <v>1286</v>
      </c>
      <c r="AB19" s="624" t="s">
        <v>44</v>
      </c>
      <c r="AC19" s="624"/>
      <c r="AD19" s="624"/>
      <c r="AE19" s="624"/>
      <c r="AG19" s="34" t="s">
        <v>466</v>
      </c>
      <c r="AH19" s="38" t="s">
        <v>509</v>
      </c>
      <c r="AI19" s="666" t="str">
        <f>INDEX('HVAC Types'!B$2:B$86,MATCH($AH19,'HVAC Types'!$A$2:$A$86,0))</f>
        <v>Cooling - HVAC Equipment</v>
      </c>
      <c r="AJ19" s="666" t="str">
        <f>INDEX('HVAC Types'!C$2:C$86,MATCH($AH19,'HVAC Types'!$A$2:$A$86,0))</f>
        <v>Air Conditioners</v>
      </c>
      <c r="AK19" s="666" t="str">
        <f>INDEX('HVAC Types'!D$2:D$86,MATCH($AH19,'HVAC Types'!$A$2:$A$86,0))</f>
        <v>ACR Air Cooled AC Packaged - AC422</v>
      </c>
      <c r="AL19" s="8"/>
      <c r="AM19" s="8"/>
      <c r="AN19" s="65" t="s">
        <v>613</v>
      </c>
      <c r="AO19" s="321">
        <v>2</v>
      </c>
      <c r="AP19" s="19">
        <v>11.5</v>
      </c>
      <c r="AQ19" s="19"/>
      <c r="AR19" s="19"/>
      <c r="AS19" s="20">
        <v>400</v>
      </c>
      <c r="AT19" s="18" t="s">
        <v>30</v>
      </c>
      <c r="AU19" s="19">
        <v>9</v>
      </c>
      <c r="AV19" s="19" t="s">
        <v>30</v>
      </c>
      <c r="AW19" s="40" t="s">
        <v>30</v>
      </c>
      <c r="AX19" s="936"/>
      <c r="AY19" s="898" t="s">
        <v>1244</v>
      </c>
      <c r="AZ19" s="879"/>
      <c r="BA19" s="879">
        <v>12.2</v>
      </c>
      <c r="BB19" s="879"/>
      <c r="BC19" s="879"/>
      <c r="BD19" s="899">
        <v>0.55000000000000004</v>
      </c>
      <c r="BE19" s="879" t="s">
        <v>30</v>
      </c>
      <c r="BF19" s="879" t="s">
        <v>30</v>
      </c>
      <c r="BG19" s="879" t="s">
        <v>30</v>
      </c>
      <c r="BH19" s="879" t="s">
        <v>30</v>
      </c>
      <c r="BI19" s="879" t="s">
        <v>30</v>
      </c>
      <c r="BJ19" s="879"/>
      <c r="BK19" s="879"/>
      <c r="BL19" s="879"/>
      <c r="BM19" s="900">
        <v>14</v>
      </c>
      <c r="BN19" s="879"/>
      <c r="BO19" s="883"/>
      <c r="BT19" s="293" t="s">
        <v>1417</v>
      </c>
      <c r="BU19" s="293" t="s">
        <v>1458</v>
      </c>
      <c r="BV19"/>
      <c r="BW19" s="545">
        <v>8840</v>
      </c>
      <c r="BX19" s="545"/>
      <c r="BY19" s="545"/>
      <c r="BZ19" s="545"/>
      <c r="CA19" s="545"/>
      <c r="CB19" s="545"/>
      <c r="CC19" s="545"/>
      <c r="CD19" s="545"/>
      <c r="CE19" s="545"/>
      <c r="CF19" s="545"/>
      <c r="CG19" s="545"/>
      <c r="CH19" s="545"/>
      <c r="CI19" s="545"/>
    </row>
    <row r="20" spans="1:87" ht="14.5" x14ac:dyDescent="0.35">
      <c r="B20" s="505" t="s">
        <v>1198</v>
      </c>
      <c r="C20" s="2"/>
      <c r="D20" s="216" t="s">
        <v>600</v>
      </c>
      <c r="E20" s="216" t="s">
        <v>601</v>
      </c>
      <c r="F20" s="216" t="s">
        <v>23</v>
      </c>
      <c r="G20" s="216" t="s">
        <v>79</v>
      </c>
      <c r="H20" s="216" t="s">
        <v>1280</v>
      </c>
      <c r="I20" s="216" t="s">
        <v>1281</v>
      </c>
      <c r="K20" s="217" t="s">
        <v>41</v>
      </c>
      <c r="L20" s="217" t="s">
        <v>42</v>
      </c>
      <c r="M20" s="217" t="s">
        <v>43</v>
      </c>
      <c r="P20" s="253" t="s">
        <v>959</v>
      </c>
      <c r="Q20" s="41"/>
      <c r="T20" s="624" t="s">
        <v>129</v>
      </c>
      <c r="U20" s="624">
        <v>4</v>
      </c>
      <c r="V20" s="624">
        <v>3</v>
      </c>
      <c r="W20" s="624" t="s">
        <v>1318</v>
      </c>
      <c r="X20" s="627" t="s">
        <v>1588</v>
      </c>
      <c r="Y20" s="624"/>
      <c r="Z20" s="624" t="s">
        <v>1283</v>
      </c>
      <c r="AA20" s="624" t="s">
        <v>1287</v>
      </c>
      <c r="AB20" s="624" t="s">
        <v>44</v>
      </c>
      <c r="AC20" s="624"/>
      <c r="AD20" s="624"/>
      <c r="AE20" s="624"/>
      <c r="AG20" s="34" t="s">
        <v>443</v>
      </c>
      <c r="AH20" s="38" t="s">
        <v>488</v>
      </c>
      <c r="AI20" s="666" t="str">
        <f>INDEX('HVAC Types'!B$2:B$86,MATCH($AH20,'HVAC Types'!$A$2:$A$86,0))</f>
        <v>Cooling - HVAC Equipment</v>
      </c>
      <c r="AJ20" s="666" t="str">
        <f>INDEX('HVAC Types'!C$2:C$86,MATCH($AH20,'HVAC Types'!$A$2:$A$86,0))</f>
        <v>Air Conditioners</v>
      </c>
      <c r="AK20" s="666" t="str">
        <f>INDEX('HVAC Types'!D$2:D$86,MATCH($AH20,'HVAC Types'!$A$2:$A$86,0))</f>
        <v>ACR Air Cooled AC Split - AC510</v>
      </c>
      <c r="AL20" s="8"/>
      <c r="AM20" s="8"/>
      <c r="AN20" s="65" t="s">
        <v>206</v>
      </c>
      <c r="AO20" s="321">
        <v>13</v>
      </c>
      <c r="AP20" s="19">
        <v>12</v>
      </c>
      <c r="AQ20" s="19"/>
      <c r="AR20" s="19"/>
      <c r="AS20" s="20">
        <v>400</v>
      </c>
      <c r="AT20" s="18">
        <v>9.6999999999999993</v>
      </c>
      <c r="AU20" s="341">
        <v>9.5</v>
      </c>
      <c r="AV20" s="19" t="s">
        <v>30</v>
      </c>
      <c r="AW20" s="40" t="s">
        <v>30</v>
      </c>
      <c r="AX20" s="936"/>
      <c r="AY20" s="901" t="s">
        <v>1246</v>
      </c>
      <c r="AZ20" s="902"/>
      <c r="BA20" s="902">
        <v>11.4</v>
      </c>
      <c r="BB20" s="902"/>
      <c r="BC20" s="902"/>
      <c r="BD20" s="903">
        <v>0.55000000000000004</v>
      </c>
      <c r="BE20" s="902" t="s">
        <v>30</v>
      </c>
      <c r="BF20" s="902" t="s">
        <v>30</v>
      </c>
      <c r="BG20" s="902" t="s">
        <v>30</v>
      </c>
      <c r="BH20" s="902" t="s">
        <v>30</v>
      </c>
      <c r="BI20" s="902" t="s">
        <v>30</v>
      </c>
      <c r="BJ20" s="902"/>
      <c r="BK20" s="902"/>
      <c r="BL20" s="902"/>
      <c r="BM20" s="904">
        <v>14</v>
      </c>
      <c r="BN20" s="902"/>
      <c r="BO20" s="905"/>
      <c r="BT20" s="293" t="s">
        <v>1418</v>
      </c>
      <c r="BU20" s="293" t="s">
        <v>1459</v>
      </c>
      <c r="BV20"/>
      <c r="BX20" s="545"/>
      <c r="BY20" s="545"/>
      <c r="BZ20" s="545"/>
      <c r="CA20" s="545"/>
      <c r="CB20" s="545"/>
      <c r="CC20" s="545"/>
      <c r="CD20" s="545"/>
      <c r="CE20" s="545"/>
      <c r="CF20" s="545"/>
      <c r="CG20" s="545"/>
      <c r="CH20" s="545"/>
      <c r="CI20" s="545"/>
    </row>
    <row r="21" spans="1:87" ht="15" thickBot="1" x14ac:dyDescent="0.4">
      <c r="B21" s="651">
        <v>1.3409629999999999</v>
      </c>
      <c r="C21" s="2"/>
      <c r="D21" s="782" t="s">
        <v>91</v>
      </c>
      <c r="E21" s="34" t="s">
        <v>173</v>
      </c>
      <c r="F21" s="65" t="s">
        <v>241</v>
      </c>
      <c r="G21" s="43" t="s">
        <v>2178</v>
      </c>
      <c r="H21" s="43"/>
      <c r="I21" s="43"/>
      <c r="K21" s="34" t="s">
        <v>931</v>
      </c>
      <c r="L21" s="38">
        <v>0</v>
      </c>
      <c r="M21" s="329">
        <v>0.74999899999999997</v>
      </c>
      <c r="P21" s="214">
        <v>1</v>
      </c>
      <c r="Q21" s="40" t="s">
        <v>954</v>
      </c>
      <c r="T21" s="624" t="s">
        <v>128</v>
      </c>
      <c r="U21" s="624">
        <v>3</v>
      </c>
      <c r="V21" s="624">
        <v>3</v>
      </c>
      <c r="W21" s="624" t="s">
        <v>1317</v>
      </c>
      <c r="X21" s="627" t="s">
        <v>1588</v>
      </c>
      <c r="Y21" s="624"/>
      <c r="Z21" s="624" t="s">
        <v>1282</v>
      </c>
      <c r="AA21" s="624" t="s">
        <v>1283</v>
      </c>
      <c r="AB21" s="624" t="s">
        <v>1286</v>
      </c>
      <c r="AC21" s="624" t="s">
        <v>1287</v>
      </c>
      <c r="AD21" s="624" t="s">
        <v>44</v>
      </c>
      <c r="AE21" s="624"/>
      <c r="AG21" s="34" t="s">
        <v>454</v>
      </c>
      <c r="AH21" s="38" t="s">
        <v>498</v>
      </c>
      <c r="AI21" s="666" t="str">
        <f>INDEX('HVAC Types'!B$2:B$86,MATCH($AH21,'HVAC Types'!$A$2:$A$86,0))</f>
        <v>Cooling - HVAC Equipment</v>
      </c>
      <c r="AJ21" s="666" t="str">
        <f>INDEX('HVAC Types'!C$2:C$86,MATCH($AH21,'HVAC Types'!$A$2:$A$86,0))</f>
        <v>Air Conditioners</v>
      </c>
      <c r="AK21" s="666" t="str">
        <f>INDEX('HVAC Types'!D$2:D$86,MATCH($AH21,'HVAC Types'!$A$2:$A$86,0))</f>
        <v>ACR Air Cooled AC Split - AC511</v>
      </c>
      <c r="AL21" s="8"/>
      <c r="AM21" s="8"/>
      <c r="AN21" s="65" t="s">
        <v>207</v>
      </c>
      <c r="AO21" s="321">
        <v>13</v>
      </c>
      <c r="AP21" s="19">
        <v>12</v>
      </c>
      <c r="AQ21" s="19"/>
      <c r="AR21" s="19"/>
      <c r="AS21" s="20">
        <v>400</v>
      </c>
      <c r="AT21" s="18">
        <v>9.6999999999999993</v>
      </c>
      <c r="AU21" s="341">
        <v>9.5</v>
      </c>
      <c r="AV21" s="19" t="s">
        <v>30</v>
      </c>
      <c r="AW21" s="40" t="s">
        <v>30</v>
      </c>
      <c r="AX21" s="936"/>
      <c r="AY21" s="906" t="s">
        <v>1245</v>
      </c>
      <c r="AZ21" s="886"/>
      <c r="BA21" s="886">
        <v>10.4</v>
      </c>
      <c r="BB21" s="886"/>
      <c r="BC21" s="886"/>
      <c r="BD21" s="907">
        <v>0.55000000000000004</v>
      </c>
      <c r="BE21" s="886" t="s">
        <v>30</v>
      </c>
      <c r="BF21" s="886" t="s">
        <v>30</v>
      </c>
      <c r="BG21" s="886" t="s">
        <v>30</v>
      </c>
      <c r="BH21" s="886" t="s">
        <v>30</v>
      </c>
      <c r="BI21" s="886" t="s">
        <v>30</v>
      </c>
      <c r="BJ21" s="886"/>
      <c r="BK21" s="886"/>
      <c r="BL21" s="886"/>
      <c r="BM21" s="908">
        <v>14</v>
      </c>
      <c r="BN21" s="886"/>
      <c r="BO21" s="890"/>
      <c r="BT21" s="293" t="s">
        <v>1419</v>
      </c>
      <c r="BU21" s="293" t="s">
        <v>1710</v>
      </c>
      <c r="BV21"/>
      <c r="BX21" s="545"/>
      <c r="BY21" s="545"/>
      <c r="BZ21" s="545"/>
      <c r="CA21" s="545"/>
      <c r="CB21" s="545"/>
      <c r="CC21" s="545"/>
      <c r="CD21" s="545"/>
      <c r="CE21" s="545"/>
      <c r="CF21" s="545"/>
      <c r="CG21" s="545"/>
      <c r="CH21" s="545"/>
      <c r="CI21" s="545"/>
    </row>
    <row r="22" spans="1:87" ht="14.5" x14ac:dyDescent="0.35">
      <c r="A22" s="346"/>
      <c r="B22"/>
      <c r="C22" s="2"/>
      <c r="D22" s="782" t="s">
        <v>92</v>
      </c>
      <c r="E22" s="34" t="s">
        <v>91</v>
      </c>
      <c r="F22" s="65" t="s">
        <v>242</v>
      </c>
      <c r="G22" s="984" t="s">
        <v>1356</v>
      </c>
      <c r="H22" s="984">
        <v>621</v>
      </c>
      <c r="I22" s="984">
        <v>588</v>
      </c>
      <c r="J22" s="67"/>
      <c r="K22" s="34" t="s">
        <v>1243</v>
      </c>
      <c r="L22" s="329">
        <v>0.75</v>
      </c>
      <c r="M22" s="329">
        <v>0.99999000000000005</v>
      </c>
      <c r="P22" s="214">
        <v>2</v>
      </c>
      <c r="Q22" s="40" t="s">
        <v>955</v>
      </c>
      <c r="T22" s="42" t="s">
        <v>127</v>
      </c>
      <c r="U22" s="624">
        <v>3</v>
      </c>
      <c r="V22" s="624">
        <v>3</v>
      </c>
      <c r="W22" s="624" t="s">
        <v>1318</v>
      </c>
      <c r="X22" s="627" t="s">
        <v>1588</v>
      </c>
      <c r="Y22" s="624"/>
      <c r="Z22" s="624" t="s">
        <v>1282</v>
      </c>
      <c r="AA22" s="624" t="s">
        <v>1283</v>
      </c>
      <c r="AB22" s="624" t="s">
        <v>1286</v>
      </c>
      <c r="AC22" s="624" t="s">
        <v>1287</v>
      </c>
      <c r="AD22" s="624" t="s">
        <v>44</v>
      </c>
      <c r="AE22" s="624"/>
      <c r="AG22" s="34" t="s">
        <v>467</v>
      </c>
      <c r="AH22" s="38" t="s">
        <v>510</v>
      </c>
      <c r="AI22" s="666" t="str">
        <f>INDEX('HVAC Types'!B$2:B$86,MATCH($AH22,'HVAC Types'!$A$2:$A$86,0))</f>
        <v>Cooling - HVAC Equipment</v>
      </c>
      <c r="AJ22" s="666" t="str">
        <f>INDEX('HVAC Types'!C$2:C$86,MATCH($AH22,'HVAC Types'!$A$2:$A$86,0))</f>
        <v>Air Conditioners</v>
      </c>
      <c r="AK22" s="666" t="str">
        <f>INDEX('HVAC Types'!D$2:D$86,MATCH($AH22,'HVAC Types'!$A$2:$A$86,0))</f>
        <v>ACR Air Cooled AC Split - AC512</v>
      </c>
      <c r="AL22" s="8"/>
      <c r="AM22" s="8"/>
      <c r="AN22" s="65" t="s">
        <v>621</v>
      </c>
      <c r="AO22" s="321">
        <v>13</v>
      </c>
      <c r="AP22" s="19">
        <v>12</v>
      </c>
      <c r="AQ22" s="19"/>
      <c r="AR22" s="19"/>
      <c r="AS22" s="20">
        <v>400</v>
      </c>
      <c r="AT22" s="18">
        <v>9.6999999999999993</v>
      </c>
      <c r="AU22" s="341">
        <v>9.5</v>
      </c>
      <c r="AV22" s="19" t="s">
        <v>30</v>
      </c>
      <c r="AW22" s="40" t="s">
        <v>30</v>
      </c>
      <c r="AX22" s="936"/>
      <c r="AY22" s="854" t="s">
        <v>130</v>
      </c>
      <c r="AZ22" s="855">
        <v>15</v>
      </c>
      <c r="BA22" s="856">
        <v>12.5</v>
      </c>
      <c r="BB22" s="856">
        <v>8.5</v>
      </c>
      <c r="BC22" s="856"/>
      <c r="BD22" s="857">
        <v>2</v>
      </c>
      <c r="BE22" s="855">
        <v>16</v>
      </c>
      <c r="BF22" s="856">
        <v>13</v>
      </c>
      <c r="BG22" s="856">
        <v>9</v>
      </c>
      <c r="BH22" s="856"/>
      <c r="BI22" s="858">
        <v>230</v>
      </c>
      <c r="BJ22" s="859"/>
      <c r="BK22" s="859"/>
      <c r="BL22" s="855">
        <v>14</v>
      </c>
      <c r="BM22" s="856">
        <f t="shared" ref="BM22:BM23" si="1">(1.12*BL22)-(0.02*BL22^2)</f>
        <v>11.760000000000002</v>
      </c>
      <c r="BN22" s="856">
        <v>8.1999999999999993</v>
      </c>
      <c r="BO22" s="860">
        <f>BN22/3.412</f>
        <v>2.4032825322391558</v>
      </c>
      <c r="BT22" s="293" t="s">
        <v>1420</v>
      </c>
      <c r="BU22" s="293"/>
      <c r="BV22"/>
      <c r="BW22"/>
      <c r="BX22"/>
      <c r="BY22"/>
      <c r="BZ22"/>
      <c r="CA22"/>
      <c r="CB22"/>
      <c r="CC22"/>
      <c r="CD22"/>
      <c r="CE22"/>
      <c r="CF22"/>
      <c r="CG22"/>
      <c r="CH22"/>
      <c r="CI22"/>
    </row>
    <row r="23" spans="1:87" ht="14.5" x14ac:dyDescent="0.35">
      <c r="B23" s="504" t="s">
        <v>1850</v>
      </c>
      <c r="C23" s="2"/>
      <c r="D23" s="782" t="s">
        <v>95</v>
      </c>
      <c r="E23" s="34" t="s">
        <v>92</v>
      </c>
      <c r="F23" s="65" t="s">
        <v>243</v>
      </c>
      <c r="G23" s="984" t="s">
        <v>1784</v>
      </c>
      <c r="H23" s="984">
        <v>395</v>
      </c>
      <c r="I23" s="984">
        <v>1863</v>
      </c>
      <c r="J23" s="67"/>
      <c r="K23" s="34" t="s">
        <v>1238</v>
      </c>
      <c r="L23" s="329">
        <v>1</v>
      </c>
      <c r="M23" s="38" t="s">
        <v>44</v>
      </c>
      <c r="P23" s="214">
        <v>3</v>
      </c>
      <c r="Q23" s="40" t="s">
        <v>956</v>
      </c>
      <c r="T23" s="624" t="s">
        <v>126</v>
      </c>
      <c r="U23" s="624">
        <v>3</v>
      </c>
      <c r="V23" s="624">
        <v>3</v>
      </c>
      <c r="W23" s="624" t="s">
        <v>1317</v>
      </c>
      <c r="X23" s="627" t="s">
        <v>1588</v>
      </c>
      <c r="Y23" s="624"/>
      <c r="Z23" s="624" t="s">
        <v>1282</v>
      </c>
      <c r="AA23" s="624" t="s">
        <v>1283</v>
      </c>
      <c r="AB23" s="624" t="s">
        <v>1286</v>
      </c>
      <c r="AC23" s="624" t="s">
        <v>1287</v>
      </c>
      <c r="AD23" s="624" t="s">
        <v>44</v>
      </c>
      <c r="AE23" s="624"/>
      <c r="AG23" s="34" t="s">
        <v>444</v>
      </c>
      <c r="AH23" s="38" t="s">
        <v>489</v>
      </c>
      <c r="AI23" s="666" t="str">
        <f>INDEX('HVAC Types'!B$2:B$86,MATCH($AH23,'HVAC Types'!$A$2:$A$86,0))</f>
        <v>Cooling - HVAC Equipment</v>
      </c>
      <c r="AJ23" s="666" t="str">
        <f>INDEX('HVAC Types'!C$2:C$86,MATCH($AH23,'HVAC Types'!$A$2:$A$86,0))</f>
        <v>Air Conditioners</v>
      </c>
      <c r="AK23" s="666" t="str">
        <f>INDEX('HVAC Types'!D$2:D$86,MATCH($AH23,'HVAC Types'!$A$2:$A$86,0))</f>
        <v>ACR Air Cooled AC Packaged - AC520</v>
      </c>
      <c r="AL23" s="8"/>
      <c r="AM23" s="8"/>
      <c r="AN23" s="65" t="s">
        <v>614</v>
      </c>
      <c r="AO23" s="321">
        <v>13</v>
      </c>
      <c r="AP23" s="19">
        <v>12</v>
      </c>
      <c r="AQ23" s="19"/>
      <c r="AR23" s="19"/>
      <c r="AS23" s="20">
        <v>400</v>
      </c>
      <c r="AT23" s="18">
        <v>9.6999999999999993</v>
      </c>
      <c r="AU23" s="341">
        <v>9.5</v>
      </c>
      <c r="AV23" s="19" t="s">
        <v>30</v>
      </c>
      <c r="AW23" s="40" t="s">
        <v>30</v>
      </c>
      <c r="AX23" s="936"/>
      <c r="AY23" s="861" t="s">
        <v>129</v>
      </c>
      <c r="AZ23" s="868">
        <v>15</v>
      </c>
      <c r="BA23" s="863">
        <v>12</v>
      </c>
      <c r="BB23" s="863">
        <v>8.1999999999999993</v>
      </c>
      <c r="BC23" s="863"/>
      <c r="BD23" s="864">
        <v>2</v>
      </c>
      <c r="BE23" s="868">
        <v>16</v>
      </c>
      <c r="BF23" s="863">
        <v>12</v>
      </c>
      <c r="BG23" s="863">
        <v>8.1999999999999993</v>
      </c>
      <c r="BH23" s="863"/>
      <c r="BI23" s="865">
        <v>230</v>
      </c>
      <c r="BJ23" s="866"/>
      <c r="BK23" s="866"/>
      <c r="BL23" s="868">
        <v>14</v>
      </c>
      <c r="BM23" s="863">
        <f t="shared" si="1"/>
        <v>11.760000000000002</v>
      </c>
      <c r="BN23" s="863">
        <v>8</v>
      </c>
      <c r="BO23" s="867">
        <f>BN23/3.412</f>
        <v>2.3446658851113718</v>
      </c>
      <c r="BP23" s="11" t="s">
        <v>1008</v>
      </c>
      <c r="BT23"/>
      <c r="BU23"/>
      <c r="BV23"/>
      <c r="BW23" t="s">
        <v>1461</v>
      </c>
      <c r="BX23"/>
      <c r="BY23"/>
      <c r="BZ23"/>
      <c r="CA23"/>
      <c r="CB23"/>
      <c r="CC23"/>
      <c r="CD23"/>
      <c r="CE23"/>
      <c r="CF23"/>
      <c r="CG23"/>
      <c r="CH23"/>
      <c r="CI23"/>
    </row>
    <row r="24" spans="1:87" ht="14.5" x14ac:dyDescent="0.35">
      <c r="B24" s="505" t="s">
        <v>1198</v>
      </c>
      <c r="C24" s="2"/>
      <c r="D24" s="782" t="s">
        <v>173</v>
      </c>
      <c r="E24" s="34" t="s">
        <v>563</v>
      </c>
      <c r="F24" s="65" t="s">
        <v>244</v>
      </c>
      <c r="G24" s="984" t="s">
        <v>1785</v>
      </c>
      <c r="H24" s="984">
        <v>1187</v>
      </c>
      <c r="I24" s="984">
        <v>186</v>
      </c>
      <c r="J24" s="67"/>
      <c r="K24" s="34" t="s">
        <v>90</v>
      </c>
      <c r="L24" s="38">
        <v>0</v>
      </c>
      <c r="M24" s="667">
        <v>5.3999999900000004</v>
      </c>
      <c r="P24" s="214">
        <v>4</v>
      </c>
      <c r="Q24" s="40" t="s">
        <v>957</v>
      </c>
      <c r="T24" s="624" t="s">
        <v>125</v>
      </c>
      <c r="U24" s="624">
        <v>3</v>
      </c>
      <c r="V24" s="624">
        <v>3</v>
      </c>
      <c r="W24" s="624" t="s">
        <v>1318</v>
      </c>
      <c r="X24" s="627" t="s">
        <v>1588</v>
      </c>
      <c r="Y24" s="624"/>
      <c r="Z24" s="624" t="s">
        <v>1282</v>
      </c>
      <c r="AA24" s="624" t="s">
        <v>1283</v>
      </c>
      <c r="AB24" s="624" t="s">
        <v>1286</v>
      </c>
      <c r="AC24" s="624" t="s">
        <v>1287</v>
      </c>
      <c r="AD24" s="624" t="s">
        <v>44</v>
      </c>
      <c r="AE24" s="624"/>
      <c r="AG24" s="34" t="s">
        <v>455</v>
      </c>
      <c r="AH24" s="38" t="s">
        <v>499</v>
      </c>
      <c r="AI24" s="666" t="str">
        <f>INDEX('HVAC Types'!B$2:B$86,MATCH($AH24,'HVAC Types'!$A$2:$A$86,0))</f>
        <v>Cooling - HVAC Equipment</v>
      </c>
      <c r="AJ24" s="666" t="str">
        <f>INDEX('HVAC Types'!C$2:C$86,MATCH($AH24,'HVAC Types'!$A$2:$A$86,0))</f>
        <v>Air Conditioners</v>
      </c>
      <c r="AK24" s="666" t="str">
        <f>INDEX('HVAC Types'!D$2:D$86,MATCH($AH24,'HVAC Types'!$A$2:$A$86,0))</f>
        <v>ACR Air Cooled AC Packaged - AC521</v>
      </c>
      <c r="AL24" s="8"/>
      <c r="AM24" s="8"/>
      <c r="AN24" s="65" t="s">
        <v>208</v>
      </c>
      <c r="AO24" s="321">
        <v>13</v>
      </c>
      <c r="AP24" s="19">
        <v>12</v>
      </c>
      <c r="AQ24" s="19"/>
      <c r="AR24" s="19"/>
      <c r="AS24" s="20">
        <v>400</v>
      </c>
      <c r="AT24" s="18">
        <v>9.6999999999999993</v>
      </c>
      <c r="AU24" s="341">
        <v>9.5</v>
      </c>
      <c r="AV24" s="19" t="s">
        <v>30</v>
      </c>
      <c r="AW24" s="40" t="s">
        <v>30</v>
      </c>
      <c r="AX24" s="942"/>
      <c r="AY24" s="861" t="s">
        <v>128</v>
      </c>
      <c r="AZ24" s="937">
        <v>14.5</v>
      </c>
      <c r="BA24" s="938">
        <v>12.1</v>
      </c>
      <c r="BB24" s="863"/>
      <c r="BC24" s="938">
        <v>3.5</v>
      </c>
      <c r="BD24" s="864">
        <v>2</v>
      </c>
      <c r="BE24" s="868" t="s">
        <v>30</v>
      </c>
      <c r="BF24" s="863" t="s">
        <v>30</v>
      </c>
      <c r="BG24" s="863" t="s">
        <v>30</v>
      </c>
      <c r="BH24" s="863" t="s">
        <v>30</v>
      </c>
      <c r="BI24" s="865" t="s">
        <v>30</v>
      </c>
      <c r="BJ24" s="866"/>
      <c r="BK24" s="866"/>
      <c r="BL24" s="939">
        <v>13.9</v>
      </c>
      <c r="BM24" s="940">
        <v>11.7</v>
      </c>
      <c r="BN24" s="863"/>
      <c r="BO24" s="941">
        <v>3.4</v>
      </c>
      <c r="BT24" t="s">
        <v>1460</v>
      </c>
      <c r="BV24"/>
      <c r="BW24" s="544" t="s">
        <v>1409</v>
      </c>
      <c r="BX24" s="544" t="s">
        <v>1410</v>
      </c>
      <c r="BY24" s="544" t="s">
        <v>1411</v>
      </c>
      <c r="BZ24" s="544" t="s">
        <v>1412</v>
      </c>
      <c r="CA24" s="544" t="s">
        <v>1292</v>
      </c>
      <c r="CB24" s="544" t="s">
        <v>1413</v>
      </c>
      <c r="CC24" s="544" t="s">
        <v>1414</v>
      </c>
      <c r="CD24" s="544" t="s">
        <v>1415</v>
      </c>
      <c r="CE24" s="544" t="s">
        <v>1416</v>
      </c>
      <c r="CF24" s="544" t="s">
        <v>1417</v>
      </c>
      <c r="CG24" s="544" t="s">
        <v>1418</v>
      </c>
      <c r="CH24" s="544" t="s">
        <v>1419</v>
      </c>
      <c r="CI24" s="544" t="s">
        <v>1420</v>
      </c>
    </row>
    <row r="25" spans="1:87" ht="15" customHeight="1" x14ac:dyDescent="0.35">
      <c r="B25" s="651">
        <v>1.1961999999999999</v>
      </c>
      <c r="C25" s="2"/>
      <c r="D25" s="782" t="s">
        <v>563</v>
      </c>
      <c r="E25" s="34" t="s">
        <v>95</v>
      </c>
      <c r="F25" s="65" t="s">
        <v>245</v>
      </c>
      <c r="G25" s="984" t="s">
        <v>1786</v>
      </c>
      <c r="H25" s="984">
        <v>1128</v>
      </c>
      <c r="I25" s="984">
        <v>1286</v>
      </c>
      <c r="J25" s="67"/>
      <c r="K25" s="34" t="s">
        <v>177</v>
      </c>
      <c r="L25" s="38">
        <v>0</v>
      </c>
      <c r="M25" s="667">
        <v>2.4999989999999999</v>
      </c>
      <c r="P25" s="214">
        <v>5</v>
      </c>
      <c r="Q25" s="40" t="s">
        <v>958</v>
      </c>
      <c r="T25" s="624" t="s">
        <v>124</v>
      </c>
      <c r="U25" s="624">
        <v>3</v>
      </c>
      <c r="V25" s="624">
        <v>3</v>
      </c>
      <c r="W25" s="624" t="s">
        <v>1317</v>
      </c>
      <c r="X25" s="627" t="s">
        <v>1588</v>
      </c>
      <c r="Y25" s="624"/>
      <c r="Z25" s="624" t="s">
        <v>1282</v>
      </c>
      <c r="AA25" s="624" t="s">
        <v>1283</v>
      </c>
      <c r="AB25" s="624" t="s">
        <v>1286</v>
      </c>
      <c r="AC25" s="624" t="s">
        <v>1287</v>
      </c>
      <c r="AD25" s="624" t="s">
        <v>44</v>
      </c>
      <c r="AE25" s="624"/>
      <c r="AG25" s="34" t="s">
        <v>468</v>
      </c>
      <c r="AH25" s="38" t="s">
        <v>511</v>
      </c>
      <c r="AI25" s="666" t="str">
        <f>INDEX('HVAC Types'!B$2:B$86,MATCH($AH25,'HVAC Types'!$A$2:$A$86,0))</f>
        <v>Cooling - HVAC Equipment</v>
      </c>
      <c r="AJ25" s="666" t="str">
        <f>INDEX('HVAC Types'!C$2:C$86,MATCH($AH25,'HVAC Types'!$A$2:$A$86,0))</f>
        <v>Air Conditioners</v>
      </c>
      <c r="AK25" s="666" t="str">
        <f>INDEX('HVAC Types'!D$2:D$86,MATCH($AH25,'HVAC Types'!$A$2:$A$86,0))</f>
        <v>ACR Air Cooled AC Packaged - AC522</v>
      </c>
      <c r="AL25" s="8"/>
      <c r="AM25" s="8"/>
      <c r="AN25" s="65" t="s">
        <v>209</v>
      </c>
      <c r="AO25" s="321">
        <v>13</v>
      </c>
      <c r="AP25" s="19">
        <v>12</v>
      </c>
      <c r="AQ25" s="19"/>
      <c r="AR25" s="19"/>
      <c r="AS25" s="20">
        <v>400</v>
      </c>
      <c r="AT25" s="18">
        <v>9.6999999999999993</v>
      </c>
      <c r="AU25" s="341">
        <v>9.5</v>
      </c>
      <c r="AV25" s="19" t="s">
        <v>30</v>
      </c>
      <c r="AW25" s="40" t="s">
        <v>30</v>
      </c>
      <c r="AX25" s="942"/>
      <c r="AY25" s="861" t="s">
        <v>127</v>
      </c>
      <c r="AZ25" s="937">
        <v>14.5</v>
      </c>
      <c r="BA25" s="938">
        <v>12.1</v>
      </c>
      <c r="BB25" s="863"/>
      <c r="BC25" s="938">
        <v>3.5</v>
      </c>
      <c r="BD25" s="864">
        <v>2</v>
      </c>
      <c r="BE25" s="868" t="s">
        <v>30</v>
      </c>
      <c r="BF25" s="863" t="s">
        <v>30</v>
      </c>
      <c r="BG25" s="863" t="s">
        <v>30</v>
      </c>
      <c r="BH25" s="863" t="s">
        <v>30</v>
      </c>
      <c r="BI25" s="865" t="s">
        <v>30</v>
      </c>
      <c r="BJ25" s="866"/>
      <c r="BK25" s="866"/>
      <c r="BL25" s="939">
        <v>13.9</v>
      </c>
      <c r="BM25" s="940">
        <v>11.7</v>
      </c>
      <c r="BN25" s="863"/>
      <c r="BO25" s="941">
        <v>3.4</v>
      </c>
      <c r="BT25" s="544" t="s">
        <v>646</v>
      </c>
      <c r="BU25" s="544" t="s">
        <v>1462</v>
      </c>
      <c r="BV25"/>
      <c r="BW25" s="545">
        <v>8446</v>
      </c>
      <c r="BX25" s="545" t="s">
        <v>1463</v>
      </c>
      <c r="BY25" s="545" t="s">
        <v>1464</v>
      </c>
      <c r="BZ25" s="545" t="s">
        <v>1465</v>
      </c>
      <c r="CA25" s="545" t="s">
        <v>1466</v>
      </c>
      <c r="CB25" s="545" t="s">
        <v>1467</v>
      </c>
      <c r="CC25" s="545" t="s">
        <v>1468</v>
      </c>
      <c r="CD25" s="545" t="s">
        <v>1469</v>
      </c>
      <c r="CE25" s="545" t="s">
        <v>1470</v>
      </c>
      <c r="CF25" s="545" t="s">
        <v>1471</v>
      </c>
      <c r="CG25" s="545" t="s">
        <v>1472</v>
      </c>
      <c r="CH25" s="545" t="s">
        <v>1473</v>
      </c>
      <c r="CI25" s="545">
        <v>564</v>
      </c>
    </row>
    <row r="26" spans="1:87" ht="14.5" x14ac:dyDescent="0.35">
      <c r="A26" s="2"/>
      <c r="C26" s="2"/>
      <c r="D26" s="782" t="s">
        <v>928</v>
      </c>
      <c r="E26" s="34" t="s">
        <v>97</v>
      </c>
      <c r="F26" s="65" t="s">
        <v>246</v>
      </c>
      <c r="G26" s="984" t="s">
        <v>1787</v>
      </c>
      <c r="H26" s="984">
        <v>598</v>
      </c>
      <c r="I26" s="984">
        <v>793</v>
      </c>
      <c r="J26" s="67"/>
      <c r="K26" s="34" t="s">
        <v>96</v>
      </c>
      <c r="L26" s="38">
        <v>0</v>
      </c>
      <c r="M26" s="38">
        <v>11.249999999</v>
      </c>
      <c r="P26" s="215">
        <v>6</v>
      </c>
      <c r="Q26" s="39" t="s">
        <v>1034</v>
      </c>
      <c r="T26" s="624" t="s">
        <v>123</v>
      </c>
      <c r="U26" s="624">
        <v>3</v>
      </c>
      <c r="V26" s="624">
        <v>3</v>
      </c>
      <c r="W26" s="624" t="s">
        <v>1318</v>
      </c>
      <c r="X26" s="627" t="s">
        <v>1588</v>
      </c>
      <c r="Y26" s="624"/>
      <c r="Z26" s="624" t="s">
        <v>1282</v>
      </c>
      <c r="AA26" s="624" t="s">
        <v>1283</v>
      </c>
      <c r="AB26" s="624" t="s">
        <v>1286</v>
      </c>
      <c r="AC26" s="624" t="s">
        <v>1287</v>
      </c>
      <c r="AD26" s="624" t="s">
        <v>44</v>
      </c>
      <c r="AE26" s="624"/>
      <c r="AG26" s="34" t="s">
        <v>445</v>
      </c>
      <c r="AH26" s="38" t="s">
        <v>490</v>
      </c>
      <c r="AI26" s="666" t="str">
        <f>INDEX('HVAC Types'!B$2:B$86,MATCH($AH26,'HVAC Types'!$A$2:$A$86,0))</f>
        <v>Cooling - HVAC Equipment</v>
      </c>
      <c r="AJ26" s="666" t="str">
        <f>INDEX('HVAC Types'!C$2:C$86,MATCH($AH26,'HVAC Types'!$A$2:$A$86,0))</f>
        <v>Air Conditioners</v>
      </c>
      <c r="AK26" s="666" t="str">
        <f>INDEX('HVAC Types'!D$2:D$86,MATCH($AH26,'HVAC Types'!$A$2:$A$86,0))</f>
        <v>ACR Air Cooled AC Split - AC610</v>
      </c>
      <c r="AL26" s="8"/>
      <c r="AM26" s="8"/>
      <c r="AN26" s="65" t="s">
        <v>622</v>
      </c>
      <c r="AO26" s="321">
        <v>13</v>
      </c>
      <c r="AP26" s="19">
        <v>12</v>
      </c>
      <c r="AQ26" s="19"/>
      <c r="AR26" s="19"/>
      <c r="AS26" s="20">
        <v>400</v>
      </c>
      <c r="AT26" s="18">
        <v>9.6999999999999993</v>
      </c>
      <c r="AU26" s="341">
        <v>9.5</v>
      </c>
      <c r="AV26" s="19" t="s">
        <v>30</v>
      </c>
      <c r="AW26" s="40" t="s">
        <v>30</v>
      </c>
      <c r="AX26" s="942"/>
      <c r="AY26" s="861" t="s">
        <v>126</v>
      </c>
      <c r="AZ26" s="937">
        <v>13.9</v>
      </c>
      <c r="BA26" s="938">
        <v>12.4</v>
      </c>
      <c r="BB26" s="863"/>
      <c r="BC26" s="938">
        <v>3.4</v>
      </c>
      <c r="BD26" s="864">
        <v>2</v>
      </c>
      <c r="BE26" s="868" t="s">
        <v>30</v>
      </c>
      <c r="BF26" s="863" t="s">
        <v>30</v>
      </c>
      <c r="BG26" s="863" t="s">
        <v>30</v>
      </c>
      <c r="BH26" s="863" t="s">
        <v>30</v>
      </c>
      <c r="BI26" s="865" t="s">
        <v>30</v>
      </c>
      <c r="BJ26" s="866"/>
      <c r="BK26" s="866"/>
      <c r="BL26" s="939">
        <v>13.3</v>
      </c>
      <c r="BM26" s="940">
        <v>11.4</v>
      </c>
      <c r="BN26" s="863"/>
      <c r="BO26" s="941">
        <v>3.3</v>
      </c>
      <c r="BT26" s="546">
        <v>8446</v>
      </c>
      <c r="BU26" s="293"/>
      <c r="BV26"/>
      <c r="BW26" s="545">
        <v>8448</v>
      </c>
      <c r="BX26" s="545"/>
      <c r="BY26" s="545" t="s">
        <v>1466</v>
      </c>
      <c r="BZ26" s="545"/>
      <c r="CA26" s="545" t="s">
        <v>1474</v>
      </c>
      <c r="CB26" s="545" t="s">
        <v>1475</v>
      </c>
      <c r="CC26" s="545" t="s">
        <v>1476</v>
      </c>
      <c r="CD26" s="545" t="s">
        <v>1477</v>
      </c>
      <c r="CE26" s="545" t="s">
        <v>1478</v>
      </c>
      <c r="CF26" s="545" t="s">
        <v>1479</v>
      </c>
      <c r="CG26" s="545" t="s">
        <v>1480</v>
      </c>
      <c r="CH26" s="545" t="s">
        <v>1481</v>
      </c>
      <c r="CI26" s="545" t="s">
        <v>1482</v>
      </c>
    </row>
    <row r="27" spans="1:87" ht="14.5" x14ac:dyDescent="0.35">
      <c r="A27" s="2"/>
      <c r="B27" s="504" t="s">
        <v>1199</v>
      </c>
      <c r="C27" s="2"/>
      <c r="D27" s="782" t="s">
        <v>929</v>
      </c>
      <c r="E27" s="34" t="s">
        <v>928</v>
      </c>
      <c r="F27" s="65" t="s">
        <v>12</v>
      </c>
      <c r="G27" s="984" t="s">
        <v>1788</v>
      </c>
      <c r="H27" s="984">
        <v>533</v>
      </c>
      <c r="I27" s="984">
        <v>801</v>
      </c>
      <c r="J27" s="67"/>
      <c r="K27" s="34" t="s">
        <v>98</v>
      </c>
      <c r="L27" s="38">
        <v>5.4</v>
      </c>
      <c r="M27" s="38">
        <v>11.249999999</v>
      </c>
      <c r="T27" s="625" t="s">
        <v>578</v>
      </c>
      <c r="U27" s="626">
        <v>5</v>
      </c>
      <c r="V27" s="626">
        <v>6</v>
      </c>
      <c r="W27" s="626"/>
      <c r="X27" s="627" t="s">
        <v>1588</v>
      </c>
      <c r="Y27" s="626"/>
      <c r="Z27" s="626"/>
      <c r="AA27" s="626"/>
      <c r="AB27" s="626"/>
      <c r="AC27" s="626"/>
      <c r="AD27" s="626"/>
      <c r="AE27" s="626"/>
      <c r="AG27" s="34" t="s">
        <v>456</v>
      </c>
      <c r="AH27" s="38" t="s">
        <v>500</v>
      </c>
      <c r="AI27" s="666" t="str">
        <f>INDEX('HVAC Types'!B$2:B$86,MATCH($AH27,'HVAC Types'!$A$2:$A$86,0))</f>
        <v>Cooling - HVAC Equipment</v>
      </c>
      <c r="AJ27" s="666" t="str">
        <f>INDEX('HVAC Types'!C$2:C$86,MATCH($AH27,'HVAC Types'!$A$2:$A$86,0))</f>
        <v>Air Conditioners</v>
      </c>
      <c r="AK27" s="666" t="str">
        <f>INDEX('HVAC Types'!D$2:D$86,MATCH($AH27,'HVAC Types'!$A$2:$A$86,0))</f>
        <v>ACR Air Cooled AC Split - AC611</v>
      </c>
      <c r="AL27" s="8"/>
      <c r="AM27" s="8"/>
      <c r="AN27" s="65" t="s">
        <v>615</v>
      </c>
      <c r="AO27" s="321">
        <v>12.1</v>
      </c>
      <c r="AP27" s="322">
        <v>10.6</v>
      </c>
      <c r="AQ27" s="19"/>
      <c r="AR27" s="19"/>
      <c r="AS27" s="20">
        <v>400</v>
      </c>
      <c r="AT27" s="18" t="s">
        <v>30</v>
      </c>
      <c r="AU27" s="19">
        <v>9</v>
      </c>
      <c r="AV27" s="19" t="s">
        <v>30</v>
      </c>
      <c r="AW27" s="40" t="s">
        <v>30</v>
      </c>
      <c r="AX27" s="942"/>
      <c r="AY27" s="861" t="s">
        <v>125</v>
      </c>
      <c r="AZ27" s="937">
        <v>13.9</v>
      </c>
      <c r="BA27" s="938">
        <v>12.4</v>
      </c>
      <c r="BB27" s="863"/>
      <c r="BC27" s="938">
        <v>3.4</v>
      </c>
      <c r="BD27" s="864">
        <v>2</v>
      </c>
      <c r="BE27" s="868" t="s">
        <v>30</v>
      </c>
      <c r="BF27" s="863" t="s">
        <v>30</v>
      </c>
      <c r="BG27" s="863" t="s">
        <v>30</v>
      </c>
      <c r="BH27" s="863" t="s">
        <v>30</v>
      </c>
      <c r="BI27" s="865" t="s">
        <v>30</v>
      </c>
      <c r="BJ27" s="866"/>
      <c r="BK27" s="866"/>
      <c r="BL27" s="939">
        <v>13.3</v>
      </c>
      <c r="BM27" s="940">
        <v>11.4</v>
      </c>
      <c r="BN27" s="863"/>
      <c r="BO27" s="941">
        <v>3.3</v>
      </c>
      <c r="BT27" s="546">
        <v>8448</v>
      </c>
      <c r="BU27" s="293"/>
      <c r="BV27"/>
      <c r="BW27" s="545">
        <v>8476</v>
      </c>
      <c r="BX27" s="545"/>
      <c r="BY27" s="545" t="s">
        <v>1474</v>
      </c>
      <c r="BZ27" s="545"/>
      <c r="CA27" s="545" t="s">
        <v>1483</v>
      </c>
      <c r="CB27" s="545" t="s">
        <v>1484</v>
      </c>
      <c r="CC27" s="545" t="s">
        <v>1485</v>
      </c>
      <c r="CD27" s="545" t="s">
        <v>1486</v>
      </c>
      <c r="CE27" s="545"/>
      <c r="CF27" s="545" t="s">
        <v>1487</v>
      </c>
      <c r="CG27" s="545" t="s">
        <v>1488</v>
      </c>
      <c r="CH27" s="545"/>
      <c r="CI27" s="545">
        <v>557</v>
      </c>
    </row>
    <row r="28" spans="1:87" ht="14.5" x14ac:dyDescent="0.35">
      <c r="A28" s="2"/>
      <c r="B28" s="505" t="s">
        <v>1200</v>
      </c>
      <c r="C28" s="2"/>
      <c r="D28" s="782" t="s">
        <v>97</v>
      </c>
      <c r="E28" s="34" t="s">
        <v>929</v>
      </c>
      <c r="F28" s="65" t="s">
        <v>247</v>
      </c>
      <c r="G28" s="984" t="s">
        <v>1789</v>
      </c>
      <c r="H28" s="984">
        <v>1187</v>
      </c>
      <c r="I28" s="984">
        <v>186</v>
      </c>
      <c r="J28" s="67"/>
      <c r="K28" s="34" t="s">
        <v>93</v>
      </c>
      <c r="L28" s="38">
        <v>11.25</v>
      </c>
      <c r="M28" s="38">
        <v>19.999999999900002</v>
      </c>
      <c r="T28" s="625" t="s">
        <v>579</v>
      </c>
      <c r="U28" s="626">
        <v>5</v>
      </c>
      <c r="V28" s="626">
        <v>6</v>
      </c>
      <c r="W28" s="626"/>
      <c r="X28" s="627" t="s">
        <v>1588</v>
      </c>
      <c r="Y28" s="626"/>
      <c r="Z28" s="626"/>
      <c r="AA28" s="626"/>
      <c r="AB28" s="626"/>
      <c r="AC28" s="626"/>
      <c r="AD28" s="626"/>
      <c r="AE28" s="626"/>
      <c r="AG28" s="34" t="s">
        <v>469</v>
      </c>
      <c r="AH28" s="38" t="s">
        <v>512</v>
      </c>
      <c r="AI28" s="666" t="str">
        <f>INDEX('HVAC Types'!B$2:B$86,MATCH($AH28,'HVAC Types'!$A$2:$A$86,0))</f>
        <v>Cooling - HVAC Equipment</v>
      </c>
      <c r="AJ28" s="666" t="str">
        <f>INDEX('HVAC Types'!C$2:C$86,MATCH($AH28,'HVAC Types'!$A$2:$A$86,0))</f>
        <v>Air Conditioners</v>
      </c>
      <c r="AK28" s="666" t="str">
        <f>INDEX('HVAC Types'!D$2:D$86,MATCH($AH28,'HVAC Types'!$A$2:$A$86,0))</f>
        <v>ACR Air Cooled AC Split - AC612</v>
      </c>
      <c r="AL28" s="8"/>
      <c r="AM28" s="8"/>
      <c r="AN28" s="65" t="s">
        <v>215</v>
      </c>
      <c r="AO28" s="321">
        <v>12.1</v>
      </c>
      <c r="AP28" s="322">
        <v>10.6</v>
      </c>
      <c r="AQ28" s="19"/>
      <c r="AR28" s="19"/>
      <c r="AS28" s="20">
        <v>400</v>
      </c>
      <c r="AT28" s="18">
        <v>9.5</v>
      </c>
      <c r="AU28" s="341">
        <v>9.3000000000000007</v>
      </c>
      <c r="AV28" s="19" t="s">
        <v>30</v>
      </c>
      <c r="AW28" s="40" t="s">
        <v>30</v>
      </c>
      <c r="AX28" s="942"/>
      <c r="AY28" s="861" t="s">
        <v>124</v>
      </c>
      <c r="AZ28" s="937">
        <v>12.9</v>
      </c>
      <c r="BA28" s="938">
        <v>11.8</v>
      </c>
      <c r="BB28" s="863"/>
      <c r="BC28" s="863">
        <v>3.3</v>
      </c>
      <c r="BD28" s="864">
        <v>2</v>
      </c>
      <c r="BE28" s="868" t="s">
        <v>30</v>
      </c>
      <c r="BF28" s="863" t="s">
        <v>30</v>
      </c>
      <c r="BG28" s="863" t="s">
        <v>30</v>
      </c>
      <c r="BH28" s="863" t="s">
        <v>30</v>
      </c>
      <c r="BI28" s="865" t="s">
        <v>30</v>
      </c>
      <c r="BJ28" s="866"/>
      <c r="BK28" s="866"/>
      <c r="BL28" s="939">
        <v>12.3</v>
      </c>
      <c r="BM28" s="940">
        <v>10.8</v>
      </c>
      <c r="BN28" s="863"/>
      <c r="BO28" s="867">
        <v>3.2</v>
      </c>
      <c r="BT28" s="546">
        <v>8465</v>
      </c>
      <c r="BU28" s="293"/>
      <c r="BV28"/>
      <c r="BW28" s="545">
        <v>8600</v>
      </c>
      <c r="BX28" s="545"/>
      <c r="BY28" s="545" t="s">
        <v>1483</v>
      </c>
      <c r="BZ28" s="545"/>
      <c r="CA28" s="545" t="s">
        <v>1489</v>
      </c>
      <c r="CB28" s="545"/>
      <c r="CC28" s="545" t="s">
        <v>1490</v>
      </c>
      <c r="CD28" s="545" t="s">
        <v>1491</v>
      </c>
      <c r="CE28" s="545"/>
      <c r="CF28" s="545" t="s">
        <v>1492</v>
      </c>
      <c r="CG28" s="545" t="s">
        <v>1493</v>
      </c>
      <c r="CH28" s="545"/>
      <c r="CI28" s="545">
        <v>563</v>
      </c>
    </row>
    <row r="29" spans="1:87" ht="15" thickBot="1" x14ac:dyDescent="0.4">
      <c r="A29" s="2"/>
      <c r="B29" s="506">
        <v>3.4120000000000001E-3</v>
      </c>
      <c r="C29" s="2"/>
      <c r="D29" s="782" t="s">
        <v>1375</v>
      </c>
      <c r="E29" s="34" t="s">
        <v>1376</v>
      </c>
      <c r="F29" s="65" t="s">
        <v>248</v>
      </c>
      <c r="G29" s="984" t="s">
        <v>1790</v>
      </c>
      <c r="H29" s="984">
        <v>861</v>
      </c>
      <c r="I29" s="984">
        <v>840</v>
      </c>
      <c r="J29" s="67"/>
      <c r="K29" s="34" t="s">
        <v>94</v>
      </c>
      <c r="L29" s="38">
        <v>20</v>
      </c>
      <c r="M29" s="38">
        <v>62.999999999899998</v>
      </c>
      <c r="T29" s="625" t="s">
        <v>580</v>
      </c>
      <c r="U29" s="626">
        <v>5</v>
      </c>
      <c r="V29" s="626">
        <v>6</v>
      </c>
      <c r="W29" s="626"/>
      <c r="X29" s="627" t="s">
        <v>1588</v>
      </c>
      <c r="Y29" s="626"/>
      <c r="Z29" s="626"/>
      <c r="AA29" s="626"/>
      <c r="AB29" s="626"/>
      <c r="AC29" s="626"/>
      <c r="AD29" s="626"/>
      <c r="AE29" s="626"/>
      <c r="AG29" s="34" t="s">
        <v>446</v>
      </c>
      <c r="AH29" s="38" t="s">
        <v>491</v>
      </c>
      <c r="AI29" s="666" t="str">
        <f>INDEX('HVAC Types'!B$2:B$86,MATCH($AH29,'HVAC Types'!$A$2:$A$86,0))</f>
        <v>Cooling - HVAC Equipment</v>
      </c>
      <c r="AJ29" s="666" t="str">
        <f>INDEX('HVAC Types'!C$2:C$86,MATCH($AH29,'HVAC Types'!$A$2:$A$86,0))</f>
        <v>Air Conditioners</v>
      </c>
      <c r="AK29" s="666" t="str">
        <f>INDEX('HVAC Types'!D$2:D$86,MATCH($AH29,'HVAC Types'!$A$2:$A$86,0))</f>
        <v>ACR Air Cooled AC Packaged - AC620</v>
      </c>
      <c r="AL29" s="8"/>
      <c r="AM29" s="8"/>
      <c r="AN29" s="65" t="s">
        <v>216</v>
      </c>
      <c r="AO29" s="321">
        <v>12.1</v>
      </c>
      <c r="AP29" s="322">
        <v>10.6</v>
      </c>
      <c r="AQ29" s="19"/>
      <c r="AR29" s="19"/>
      <c r="AS29" s="20">
        <v>400</v>
      </c>
      <c r="AT29" s="18">
        <v>9.5</v>
      </c>
      <c r="AU29" s="341">
        <v>9.3000000000000007</v>
      </c>
      <c r="AV29" s="19" t="s">
        <v>30</v>
      </c>
      <c r="AW29" s="40" t="s">
        <v>30</v>
      </c>
      <c r="AX29" s="942"/>
      <c r="AY29" s="870" t="s">
        <v>123</v>
      </c>
      <c r="AZ29" s="988">
        <v>12.9</v>
      </c>
      <c r="BA29" s="989">
        <v>11.8</v>
      </c>
      <c r="BB29" s="872"/>
      <c r="BC29" s="872">
        <v>3.3</v>
      </c>
      <c r="BD29" s="873">
        <v>2</v>
      </c>
      <c r="BE29" s="871" t="s">
        <v>30</v>
      </c>
      <c r="BF29" s="872" t="s">
        <v>30</v>
      </c>
      <c r="BG29" s="872" t="s">
        <v>30</v>
      </c>
      <c r="BH29" s="872" t="s">
        <v>30</v>
      </c>
      <c r="BI29" s="874" t="s">
        <v>30</v>
      </c>
      <c r="BJ29" s="875"/>
      <c r="BK29" s="875"/>
      <c r="BL29" s="943">
        <v>12.3</v>
      </c>
      <c r="BM29" s="944">
        <v>10.8</v>
      </c>
      <c r="BN29" s="872"/>
      <c r="BO29" s="876">
        <v>3.2</v>
      </c>
      <c r="BT29" s="546">
        <v>8466</v>
      </c>
      <c r="BU29" s="293"/>
      <c r="BV29"/>
      <c r="BW29" s="545">
        <v>8620</v>
      </c>
      <c r="BX29" s="545"/>
      <c r="BY29" s="545"/>
      <c r="BZ29" s="545"/>
      <c r="CA29" s="545"/>
      <c r="CB29" s="545"/>
      <c r="CC29" s="545" t="s">
        <v>1494</v>
      </c>
      <c r="CD29" s="545"/>
      <c r="CE29" s="545"/>
      <c r="CF29" s="545"/>
      <c r="CG29" s="545" t="s">
        <v>1495</v>
      </c>
      <c r="CH29" s="545"/>
      <c r="CI29" s="545"/>
    </row>
    <row r="30" spans="1:87" ht="14.5" x14ac:dyDescent="0.35">
      <c r="A30" s="2"/>
      <c r="B30" s="2"/>
      <c r="C30" s="2"/>
      <c r="D30" s="782" t="s">
        <v>1376</v>
      </c>
      <c r="E30" s="34" t="s">
        <v>1375</v>
      </c>
      <c r="F30" s="65" t="s">
        <v>13</v>
      </c>
      <c r="G30" s="984" t="s">
        <v>1791</v>
      </c>
      <c r="H30" s="984">
        <v>1424</v>
      </c>
      <c r="I30" s="984">
        <v>3137</v>
      </c>
      <c r="J30" s="67"/>
      <c r="K30" s="34" t="s">
        <v>866</v>
      </c>
      <c r="L30" s="38">
        <v>20</v>
      </c>
      <c r="M30" s="38" t="s">
        <v>44</v>
      </c>
      <c r="T30" s="624" t="s">
        <v>1694</v>
      </c>
      <c r="U30" s="624">
        <v>5</v>
      </c>
      <c r="V30" s="624">
        <v>4</v>
      </c>
      <c r="W30" s="624" t="s">
        <v>1288</v>
      </c>
      <c r="X30" s="627" t="s">
        <v>1588</v>
      </c>
      <c r="Y30" s="624"/>
      <c r="Z30" s="624" t="s">
        <v>1288</v>
      </c>
      <c r="AA30" s="624" t="s">
        <v>44</v>
      </c>
      <c r="AB30" s="624"/>
      <c r="AC30" s="624"/>
      <c r="AD30" s="624"/>
      <c r="AE30" s="624"/>
      <c r="AG30" s="34" t="s">
        <v>457</v>
      </c>
      <c r="AH30" s="38" t="s">
        <v>501</v>
      </c>
      <c r="AI30" s="666" t="str">
        <f>INDEX('HVAC Types'!B$2:B$86,MATCH($AH30,'HVAC Types'!$A$2:$A$86,0))</f>
        <v>Cooling - HVAC Equipment</v>
      </c>
      <c r="AJ30" s="666" t="str">
        <f>INDEX('HVAC Types'!C$2:C$86,MATCH($AH30,'HVAC Types'!$A$2:$A$86,0))</f>
        <v>Air Conditioners</v>
      </c>
      <c r="AK30" s="666" t="str">
        <f>INDEX('HVAC Types'!D$2:D$86,MATCH($AH30,'HVAC Types'!$A$2:$A$86,0))</f>
        <v>ACR Air Cooled AC Packaged - AC621</v>
      </c>
      <c r="AL30" s="8"/>
      <c r="AM30" s="8"/>
      <c r="AN30" s="65" t="s">
        <v>623</v>
      </c>
      <c r="AO30" s="321">
        <v>12.1</v>
      </c>
      <c r="AP30" s="322">
        <v>10.6</v>
      </c>
      <c r="AQ30" s="19"/>
      <c r="AR30" s="19"/>
      <c r="AS30" s="20">
        <v>400</v>
      </c>
      <c r="AT30" s="18">
        <v>9.5</v>
      </c>
      <c r="AU30" s="341">
        <v>9.3000000000000007</v>
      </c>
      <c r="AV30" s="19" t="s">
        <v>30</v>
      </c>
      <c r="AW30" s="40" t="s">
        <v>30</v>
      </c>
      <c r="AX30" s="942"/>
      <c r="AY30" s="877" t="s">
        <v>578</v>
      </c>
      <c r="AZ30" s="878"/>
      <c r="BA30" s="879">
        <v>17</v>
      </c>
      <c r="BB30" s="879"/>
      <c r="BC30" s="879">
        <v>3.5</v>
      </c>
      <c r="BD30" s="880">
        <v>2</v>
      </c>
      <c r="BE30" s="878"/>
      <c r="BF30" s="879">
        <v>18</v>
      </c>
      <c r="BG30" s="879"/>
      <c r="BH30" s="879">
        <v>3.9</v>
      </c>
      <c r="BI30" s="881">
        <v>1500</v>
      </c>
      <c r="BJ30" s="882"/>
      <c r="BK30" s="882"/>
      <c r="BL30" s="878"/>
      <c r="BM30" s="967">
        <v>11.2</v>
      </c>
      <c r="BN30" s="879"/>
      <c r="BO30" s="883">
        <v>3.3</v>
      </c>
      <c r="BT30" s="546">
        <v>8476</v>
      </c>
      <c r="BU30" s="293"/>
      <c r="BV30"/>
      <c r="BW30" s="545">
        <v>8910</v>
      </c>
      <c r="BX30" s="545"/>
      <c r="BY30" s="545"/>
      <c r="BZ30" s="545"/>
      <c r="CA30" s="545"/>
      <c r="CB30" s="545"/>
      <c r="CC30" s="545" t="s">
        <v>1496</v>
      </c>
      <c r="CD30" s="545"/>
      <c r="CE30" s="545"/>
      <c r="CF30" s="545"/>
      <c r="CG30" s="545" t="s">
        <v>1497</v>
      </c>
      <c r="CH30" s="545"/>
      <c r="CI30" s="545"/>
    </row>
    <row r="31" spans="1:87" ht="14.5" x14ac:dyDescent="0.35">
      <c r="A31" s="2"/>
      <c r="B31" s="504" t="s">
        <v>1325</v>
      </c>
      <c r="C31" s="2"/>
      <c r="D31" s="782" t="s">
        <v>1902</v>
      </c>
      <c r="E31" s="34" t="s">
        <v>1902</v>
      </c>
      <c r="F31" s="65" t="s">
        <v>249</v>
      </c>
      <c r="G31" s="984" t="s">
        <v>1792</v>
      </c>
      <c r="H31" s="984">
        <v>3108</v>
      </c>
      <c r="I31" s="984">
        <v>753</v>
      </c>
      <c r="J31" s="67"/>
      <c r="K31" s="34" t="s">
        <v>137</v>
      </c>
      <c r="L31" s="38">
        <v>63</v>
      </c>
      <c r="M31" s="38" t="s">
        <v>44</v>
      </c>
      <c r="T31" s="624" t="s">
        <v>1244</v>
      </c>
      <c r="U31" s="624">
        <v>2</v>
      </c>
      <c r="V31" s="624">
        <v>2</v>
      </c>
      <c r="W31" s="624" t="s">
        <v>1319</v>
      </c>
      <c r="X31" s="627" t="s">
        <v>44</v>
      </c>
      <c r="Y31" s="624"/>
      <c r="Z31" s="624" t="s">
        <v>1289</v>
      </c>
      <c r="AA31" s="624" t="s">
        <v>44</v>
      </c>
      <c r="AB31" s="624"/>
      <c r="AC31" s="624"/>
      <c r="AD31" s="624"/>
      <c r="AE31" s="624"/>
      <c r="AG31" s="34" t="s">
        <v>470</v>
      </c>
      <c r="AH31" s="38" t="s">
        <v>513</v>
      </c>
      <c r="AI31" s="666" t="str">
        <f>INDEX('HVAC Types'!B$2:B$86,MATCH($AH31,'HVAC Types'!$A$2:$A$86,0))</f>
        <v>Cooling - HVAC Equipment</v>
      </c>
      <c r="AJ31" s="666" t="str">
        <f>INDEX('HVAC Types'!C$2:C$86,MATCH($AH31,'HVAC Types'!$A$2:$A$86,0))</f>
        <v>Air Conditioners</v>
      </c>
      <c r="AK31" s="666" t="str">
        <f>INDEX('HVAC Types'!D$2:D$86,MATCH($AH31,'HVAC Types'!$A$2:$A$86,0))</f>
        <v>ACR Air Cooled AC Packaged - AC622</v>
      </c>
      <c r="AL31" s="8"/>
      <c r="AM31" s="8"/>
      <c r="AN31" s="65" t="s">
        <v>616</v>
      </c>
      <c r="AO31" s="321">
        <v>12.1</v>
      </c>
      <c r="AP31" s="322">
        <v>10.6</v>
      </c>
      <c r="AQ31" s="19"/>
      <c r="AR31" s="19"/>
      <c r="AS31" s="20">
        <v>400</v>
      </c>
      <c r="AT31" s="18">
        <v>9.5</v>
      </c>
      <c r="AU31" s="341">
        <v>9.3000000000000007</v>
      </c>
      <c r="AV31" s="19" t="s">
        <v>30</v>
      </c>
      <c r="AW31" s="40" t="s">
        <v>30</v>
      </c>
      <c r="AX31" s="942"/>
      <c r="AY31" s="909" t="s">
        <v>579</v>
      </c>
      <c r="AZ31" s="910"/>
      <c r="BA31" s="902">
        <v>20</v>
      </c>
      <c r="BB31" s="902"/>
      <c r="BC31" s="902">
        <v>4.2</v>
      </c>
      <c r="BD31" s="911">
        <v>2</v>
      </c>
      <c r="BE31" s="910"/>
      <c r="BF31" s="902">
        <v>23</v>
      </c>
      <c r="BG31" s="902"/>
      <c r="BH31" s="902">
        <v>4.5</v>
      </c>
      <c r="BI31" s="912">
        <v>1500</v>
      </c>
      <c r="BJ31" s="913"/>
      <c r="BK31" s="913"/>
      <c r="BL31" s="910"/>
      <c r="BM31" s="940">
        <v>11.2</v>
      </c>
      <c r="BN31" s="902"/>
      <c r="BO31" s="905">
        <v>3.3</v>
      </c>
      <c r="BT31" s="546">
        <v>8600</v>
      </c>
      <c r="BU31" s="293"/>
      <c r="BV31"/>
      <c r="BW31" s="545" t="s">
        <v>1451</v>
      </c>
      <c r="BX31" s="545"/>
      <c r="BY31" s="545"/>
      <c r="BZ31" s="545"/>
      <c r="CA31" s="545"/>
      <c r="CB31" s="545"/>
      <c r="CC31" s="545" t="s">
        <v>1498</v>
      </c>
      <c r="CD31" s="545"/>
      <c r="CE31" s="545"/>
      <c r="CF31" s="545"/>
      <c r="CG31" s="545" t="s">
        <v>1499</v>
      </c>
      <c r="CH31" s="545"/>
      <c r="CI31" s="545"/>
    </row>
    <row r="32" spans="1:87" ht="15" thickBot="1" x14ac:dyDescent="0.4">
      <c r="A32" s="2"/>
      <c r="B32" s="505" t="s">
        <v>1326</v>
      </c>
      <c r="C32" s="2"/>
      <c r="D32" s="34"/>
      <c r="E32" s="34"/>
      <c r="F32" s="65" t="s">
        <v>250</v>
      </c>
      <c r="G32" s="984" t="s">
        <v>1793</v>
      </c>
      <c r="H32" s="984">
        <v>2250</v>
      </c>
      <c r="I32" s="984">
        <v>2072</v>
      </c>
      <c r="J32" s="67"/>
      <c r="K32" s="32" t="s">
        <v>25</v>
      </c>
      <c r="L32" s="36">
        <v>0</v>
      </c>
      <c r="M32" s="36" t="s">
        <v>44</v>
      </c>
      <c r="T32" s="624" t="s">
        <v>1246</v>
      </c>
      <c r="U32" s="624">
        <v>2</v>
      </c>
      <c r="V32" s="624">
        <v>2</v>
      </c>
      <c r="W32" s="624" t="s">
        <v>1319</v>
      </c>
      <c r="X32" s="627" t="s">
        <v>44</v>
      </c>
      <c r="Y32" s="624"/>
      <c r="Z32" s="624" t="s">
        <v>1289</v>
      </c>
      <c r="AA32" s="624" t="s">
        <v>44</v>
      </c>
      <c r="AB32" s="624"/>
      <c r="AC32" s="624"/>
      <c r="AD32" s="624"/>
      <c r="AE32" s="624"/>
      <c r="AG32" s="34" t="s">
        <v>447</v>
      </c>
      <c r="AH32" s="38" t="s">
        <v>492</v>
      </c>
      <c r="AI32" s="666" t="str">
        <f>INDEX('HVAC Types'!B$2:B$86,MATCH($AH32,'HVAC Types'!$A$2:$A$86,0))</f>
        <v>Cooling - HVAC Equipment</v>
      </c>
      <c r="AJ32" s="666" t="str">
        <f>INDEX('HVAC Types'!C$2:C$86,MATCH($AH32,'HVAC Types'!$A$2:$A$86,0))</f>
        <v>Air Conditioners</v>
      </c>
      <c r="AK32" s="666" t="str">
        <f>INDEX('HVAC Types'!D$2:D$86,MATCH($AH32,'HVAC Types'!$A$2:$A$86,0))</f>
        <v>ACR Air Cooled AC Split - AC710</v>
      </c>
      <c r="AL32" s="8"/>
      <c r="AM32" s="8"/>
      <c r="AN32" s="65" t="s">
        <v>217</v>
      </c>
      <c r="AO32" s="321">
        <v>12.1</v>
      </c>
      <c r="AP32" s="322">
        <v>10.6</v>
      </c>
      <c r="AQ32" s="19"/>
      <c r="AR32" s="19"/>
      <c r="AS32" s="20">
        <v>400</v>
      </c>
      <c r="AT32" s="18">
        <v>9.5</v>
      </c>
      <c r="AU32" s="341">
        <v>9.3000000000000007</v>
      </c>
      <c r="AV32" s="19" t="s">
        <v>30</v>
      </c>
      <c r="AW32" s="40" t="s">
        <v>30</v>
      </c>
      <c r="AX32" s="942"/>
      <c r="AY32" s="884" t="s">
        <v>580</v>
      </c>
      <c r="AZ32" s="885"/>
      <c r="BA32" s="914">
        <v>17</v>
      </c>
      <c r="BB32" s="914"/>
      <c r="BC32" s="914">
        <v>3.5</v>
      </c>
      <c r="BD32" s="887">
        <v>2</v>
      </c>
      <c r="BE32" s="885"/>
      <c r="BF32" s="886">
        <v>20</v>
      </c>
      <c r="BG32" s="886"/>
      <c r="BH32" s="886">
        <v>4</v>
      </c>
      <c r="BI32" s="888">
        <v>1500</v>
      </c>
      <c r="BJ32" s="889"/>
      <c r="BK32" s="889"/>
      <c r="BL32" s="885"/>
      <c r="BM32" s="944">
        <v>11.2</v>
      </c>
      <c r="BN32" s="886"/>
      <c r="BO32" s="890">
        <v>3.3</v>
      </c>
      <c r="BT32" s="546">
        <v>8620</v>
      </c>
      <c r="BU32" s="293"/>
      <c r="BV32"/>
      <c r="BW32" s="545" t="s">
        <v>1453</v>
      </c>
      <c r="BX32" s="545"/>
      <c r="BY32" s="545"/>
      <c r="BZ32" s="545"/>
      <c r="CA32" s="545"/>
      <c r="CB32" s="545"/>
      <c r="CC32" s="545" t="s">
        <v>1500</v>
      </c>
      <c r="CD32" s="545"/>
      <c r="CE32" s="545"/>
      <c r="CF32" s="545"/>
      <c r="CG32" s="545" t="s">
        <v>1501</v>
      </c>
      <c r="CH32" s="545"/>
      <c r="CI32" s="545"/>
    </row>
    <row r="33" spans="1:87" ht="15" thickBot="1" x14ac:dyDescent="0.4">
      <c r="A33" s="2"/>
      <c r="B33" s="522">
        <v>0.8</v>
      </c>
      <c r="C33" s="2"/>
      <c r="D33" s="34"/>
      <c r="E33" s="34"/>
      <c r="F33" s="65" t="s">
        <v>251</v>
      </c>
      <c r="G33" s="984" t="s">
        <v>1794</v>
      </c>
      <c r="H33" s="984">
        <v>1751</v>
      </c>
      <c r="I33" s="984">
        <v>2033</v>
      </c>
      <c r="J33" s="67"/>
      <c r="T33" s="624" t="s">
        <v>1245</v>
      </c>
      <c r="U33" s="624">
        <v>2</v>
      </c>
      <c r="V33" s="624">
        <v>2</v>
      </c>
      <c r="W33" s="624" t="s">
        <v>1319</v>
      </c>
      <c r="X33" s="627" t="s">
        <v>44</v>
      </c>
      <c r="Y33" s="624"/>
      <c r="Z33" s="624" t="s">
        <v>1289</v>
      </c>
      <c r="AA33" s="624" t="s">
        <v>44</v>
      </c>
      <c r="AB33" s="624"/>
      <c r="AC33" s="624"/>
      <c r="AD33" s="624"/>
      <c r="AE33" s="624"/>
      <c r="AG33" s="34" t="s">
        <v>458</v>
      </c>
      <c r="AH33" s="38" t="s">
        <v>502</v>
      </c>
      <c r="AI33" s="666" t="str">
        <f>INDEX('HVAC Types'!B$2:B$86,MATCH($AH33,'HVAC Types'!$A$2:$A$86,0))</f>
        <v>Cooling - HVAC Equipment</v>
      </c>
      <c r="AJ33" s="666" t="str">
        <f>INDEX('HVAC Types'!C$2:C$86,MATCH($AH33,'HVAC Types'!$A$2:$A$86,0))</f>
        <v>Air Conditioners</v>
      </c>
      <c r="AK33" s="666" t="str">
        <f>INDEX('HVAC Types'!D$2:D$86,MATCH($AH33,'HVAC Types'!$A$2:$A$86,0))</f>
        <v>ACR Air Cooled AC Split - AC711</v>
      </c>
      <c r="AL33" s="8"/>
      <c r="AM33" s="8"/>
      <c r="AN33" s="65" t="s">
        <v>218</v>
      </c>
      <c r="AO33" s="321">
        <v>12.1</v>
      </c>
      <c r="AP33" s="322">
        <v>10.6</v>
      </c>
      <c r="AQ33" s="19"/>
      <c r="AR33" s="19"/>
      <c r="AS33" s="20">
        <v>400</v>
      </c>
      <c r="AT33" s="18">
        <v>9.5</v>
      </c>
      <c r="AU33" s="341">
        <v>9.3000000000000007</v>
      </c>
      <c r="AV33" s="19" t="s">
        <v>30</v>
      </c>
      <c r="AW33" s="40" t="s">
        <v>30</v>
      </c>
      <c r="AX33" s="936"/>
      <c r="AY33" s="891" t="s">
        <v>1694</v>
      </c>
      <c r="AZ33" s="892"/>
      <c r="BA33" s="893">
        <v>14</v>
      </c>
      <c r="BB33" s="893"/>
      <c r="BC33" s="893">
        <v>4.5999999999999996</v>
      </c>
      <c r="BD33" s="894">
        <v>2</v>
      </c>
      <c r="BE33" s="892" t="s">
        <v>30</v>
      </c>
      <c r="BF33" s="893" t="s">
        <v>30</v>
      </c>
      <c r="BG33" s="893" t="s">
        <v>30</v>
      </c>
      <c r="BH33" s="893" t="s">
        <v>30</v>
      </c>
      <c r="BI33" s="895" t="s">
        <v>30</v>
      </c>
      <c r="BJ33" s="896"/>
      <c r="BK33" s="896"/>
      <c r="BL33" s="892"/>
      <c r="BM33" s="893">
        <v>12.2</v>
      </c>
      <c r="BN33" s="893"/>
      <c r="BO33" s="897">
        <v>4.3</v>
      </c>
      <c r="BT33" s="546">
        <v>8910</v>
      </c>
      <c r="BU33" s="293"/>
      <c r="BV33"/>
      <c r="BW33" s="545" t="s">
        <v>1455</v>
      </c>
      <c r="BX33" s="545"/>
      <c r="BY33" s="545"/>
      <c r="BZ33" s="545"/>
      <c r="CA33" s="545"/>
      <c r="CB33" s="545"/>
      <c r="CC33" s="545" t="s">
        <v>1731</v>
      </c>
      <c r="CD33" s="545"/>
      <c r="CE33" s="545"/>
      <c r="CF33" s="545"/>
      <c r="CG33" s="545" t="s">
        <v>1502</v>
      </c>
      <c r="CH33" s="545"/>
      <c r="CI33" s="545"/>
    </row>
    <row r="34" spans="1:87" ht="14.5" x14ac:dyDescent="0.35">
      <c r="A34" s="2"/>
      <c r="C34" s="2"/>
      <c r="D34" s="34"/>
      <c r="F34" s="65" t="s">
        <v>252</v>
      </c>
      <c r="G34" s="984" t="s">
        <v>1795</v>
      </c>
      <c r="H34" s="984">
        <v>509</v>
      </c>
      <c r="I34" s="984">
        <v>696</v>
      </c>
      <c r="J34" s="67"/>
      <c r="T34" s="624" t="s">
        <v>1247</v>
      </c>
      <c r="U34" s="624">
        <v>5</v>
      </c>
      <c r="V34" s="624">
        <v>4</v>
      </c>
      <c r="W34" s="624" t="s">
        <v>1319</v>
      </c>
      <c r="X34" s="627" t="s">
        <v>1588</v>
      </c>
      <c r="Y34" s="624"/>
      <c r="Z34" s="624" t="s">
        <v>1290</v>
      </c>
      <c r="AA34" s="624" t="s">
        <v>1289</v>
      </c>
      <c r="AB34" s="624" t="s">
        <v>44</v>
      </c>
      <c r="AC34" s="624"/>
      <c r="AD34" s="624"/>
      <c r="AE34" s="624"/>
      <c r="AG34" s="34" t="s">
        <v>471</v>
      </c>
      <c r="AH34" s="38" t="s">
        <v>514</v>
      </c>
      <c r="AI34" s="666" t="str">
        <f>INDEX('HVAC Types'!B$2:B$86,MATCH($AH34,'HVAC Types'!$A$2:$A$86,0))</f>
        <v>Cooling - HVAC Equipment</v>
      </c>
      <c r="AJ34" s="666" t="str">
        <f>INDEX('HVAC Types'!C$2:C$86,MATCH($AH34,'HVAC Types'!$A$2:$A$86,0))</f>
        <v>Air Conditioners</v>
      </c>
      <c r="AK34" s="666" t="str">
        <f>INDEX('HVAC Types'!D$2:D$86,MATCH($AH34,'HVAC Types'!$A$2:$A$86,0))</f>
        <v>ACR Air Cooled AC Split - AC712</v>
      </c>
      <c r="AL34" s="8"/>
      <c r="AM34" s="8"/>
      <c r="AN34" s="65" t="s">
        <v>624</v>
      </c>
      <c r="AO34" s="321">
        <v>12.1</v>
      </c>
      <c r="AP34" s="322">
        <v>10.6</v>
      </c>
      <c r="AQ34" s="19"/>
      <c r="AR34" s="19"/>
      <c r="AS34" s="20">
        <v>400</v>
      </c>
      <c r="AT34" s="18">
        <v>9.5</v>
      </c>
      <c r="AU34" s="341">
        <v>9.3000000000000007</v>
      </c>
      <c r="AV34" s="19" t="s">
        <v>30</v>
      </c>
      <c r="AW34" s="40" t="s">
        <v>30</v>
      </c>
      <c r="AX34" s="936"/>
      <c r="AY34" s="915" t="s">
        <v>1247</v>
      </c>
      <c r="AZ34" s="879"/>
      <c r="BA34" s="879">
        <v>12.2</v>
      </c>
      <c r="BB34" s="879"/>
      <c r="BC34" s="879">
        <v>3.5</v>
      </c>
      <c r="BD34" s="880">
        <v>2</v>
      </c>
      <c r="BE34" s="879" t="s">
        <v>30</v>
      </c>
      <c r="BF34" s="879" t="s">
        <v>30</v>
      </c>
      <c r="BG34" s="879" t="s">
        <v>30</v>
      </c>
      <c r="BH34" s="879" t="s">
        <v>30</v>
      </c>
      <c r="BI34" s="879" t="s">
        <v>30</v>
      </c>
      <c r="BJ34" s="879"/>
      <c r="BK34" s="916"/>
      <c r="BL34" s="879"/>
      <c r="BM34" s="879">
        <v>14</v>
      </c>
      <c r="BN34" s="879">
        <v>3.7</v>
      </c>
      <c r="BO34" s="883">
        <v>5.1999999999999998E-2</v>
      </c>
      <c r="BT34" s="546" t="s">
        <v>1451</v>
      </c>
      <c r="BU34" s="293"/>
      <c r="BV34"/>
      <c r="BW34" s="545" t="s">
        <v>1456</v>
      </c>
      <c r="BX34" s="545"/>
      <c r="BY34" s="545"/>
      <c r="BZ34" s="545"/>
      <c r="CA34" s="545"/>
      <c r="CB34" s="545"/>
      <c r="CC34" s="545" t="s">
        <v>1732</v>
      </c>
      <c r="CD34" s="545"/>
      <c r="CE34" s="545"/>
      <c r="CF34" s="545"/>
      <c r="CG34" s="545" t="s">
        <v>1503</v>
      </c>
      <c r="CH34" s="545"/>
      <c r="CI34" s="545"/>
    </row>
    <row r="35" spans="1:87" ht="14.5" x14ac:dyDescent="0.35">
      <c r="A35" s="2"/>
      <c r="B35" s="504" t="s">
        <v>1328</v>
      </c>
      <c r="C35" s="2"/>
      <c r="D35" s="624"/>
      <c r="F35" s="65" t="s">
        <v>14</v>
      </c>
      <c r="G35" s="984" t="s">
        <v>1796</v>
      </c>
      <c r="H35" s="984">
        <v>1144</v>
      </c>
      <c r="I35" s="984">
        <v>604</v>
      </c>
      <c r="J35" s="67"/>
      <c r="T35" s="624" t="s">
        <v>1248</v>
      </c>
      <c r="U35" s="624">
        <v>5</v>
      </c>
      <c r="V35" s="624">
        <v>4</v>
      </c>
      <c r="W35" s="624" t="s">
        <v>1319</v>
      </c>
      <c r="X35" s="627" t="s">
        <v>1588</v>
      </c>
      <c r="Y35" s="624"/>
      <c r="Z35" s="624" t="s">
        <v>1290</v>
      </c>
      <c r="AA35" s="624" t="s">
        <v>1289</v>
      </c>
      <c r="AB35" s="624" t="s">
        <v>44</v>
      </c>
      <c r="AC35" s="624"/>
      <c r="AD35" s="624"/>
      <c r="AE35" s="624"/>
      <c r="AG35" s="34" t="s">
        <v>448</v>
      </c>
      <c r="AH35" s="38" t="s">
        <v>493</v>
      </c>
      <c r="AI35" s="666" t="str">
        <f>INDEX('HVAC Types'!B$2:B$86,MATCH($AH35,'HVAC Types'!$A$2:$A$86,0))</f>
        <v>Cooling - HVAC Equipment</v>
      </c>
      <c r="AJ35" s="666" t="str">
        <f>INDEX('HVAC Types'!C$2:C$86,MATCH($AH35,'HVAC Types'!$A$2:$A$86,0))</f>
        <v>Air Conditioners</v>
      </c>
      <c r="AK35" s="666" t="str">
        <f>INDEX('HVAC Types'!D$2:D$86,MATCH($AH35,'HVAC Types'!$A$2:$A$86,0))</f>
        <v>ACR Air Cooled AC Packaged - AC720</v>
      </c>
      <c r="AL35" s="8"/>
      <c r="AM35" s="8"/>
      <c r="AN35" s="65" t="s">
        <v>617</v>
      </c>
      <c r="AO35" s="321">
        <v>11.4</v>
      </c>
      <c r="AP35" s="19">
        <v>10.199999999999999</v>
      </c>
      <c r="AQ35" s="19"/>
      <c r="AR35" s="19"/>
      <c r="AS35" s="20">
        <v>400</v>
      </c>
      <c r="AT35" s="18" t="s">
        <v>30</v>
      </c>
      <c r="AU35" s="19">
        <v>8.5</v>
      </c>
      <c r="AV35" s="19" t="s">
        <v>30</v>
      </c>
      <c r="AW35" s="40" t="s">
        <v>30</v>
      </c>
      <c r="AX35" s="936"/>
      <c r="AY35" s="917" t="s">
        <v>1248</v>
      </c>
      <c r="AZ35" s="902"/>
      <c r="BA35" s="902">
        <v>11.4</v>
      </c>
      <c r="BB35" s="902"/>
      <c r="BC35" s="902">
        <v>3.3</v>
      </c>
      <c r="BD35" s="911">
        <v>2</v>
      </c>
      <c r="BE35" s="902" t="s">
        <v>30</v>
      </c>
      <c r="BF35" s="902" t="s">
        <v>30</v>
      </c>
      <c r="BG35" s="902" t="s">
        <v>30</v>
      </c>
      <c r="BH35" s="902" t="s">
        <v>30</v>
      </c>
      <c r="BI35" s="902" t="s">
        <v>30</v>
      </c>
      <c r="BJ35" s="902"/>
      <c r="BK35" s="918"/>
      <c r="BL35" s="902"/>
      <c r="BM35" s="902">
        <v>14</v>
      </c>
      <c r="BN35" s="902">
        <v>3.7</v>
      </c>
      <c r="BO35" s="905">
        <v>5.1999999999999998E-2</v>
      </c>
      <c r="BT35" s="546" t="s">
        <v>1453</v>
      </c>
      <c r="BU35" s="293"/>
      <c r="BV35"/>
      <c r="BW35" s="545">
        <v>8800</v>
      </c>
      <c r="BX35" s="545"/>
      <c r="BY35" s="545"/>
      <c r="BZ35" s="545"/>
      <c r="CA35" s="545"/>
      <c r="CB35" s="545"/>
      <c r="CC35" s="545"/>
      <c r="CD35" s="545"/>
      <c r="CE35" s="545"/>
      <c r="CF35" s="545"/>
      <c r="CG35" s="545"/>
      <c r="CH35" s="545"/>
      <c r="CI35" s="545"/>
    </row>
    <row r="36" spans="1:87" ht="15" thickBot="1" x14ac:dyDescent="0.4">
      <c r="A36" s="2"/>
      <c r="B36" s="505" t="s">
        <v>1329</v>
      </c>
      <c r="C36" s="2"/>
      <c r="D36" s="624"/>
      <c r="E36" s="34"/>
      <c r="F36" s="65" t="s">
        <v>253</v>
      </c>
      <c r="G36" s="984" t="s">
        <v>1797</v>
      </c>
      <c r="H36" s="984">
        <v>366</v>
      </c>
      <c r="I36" s="984">
        <v>819</v>
      </c>
      <c r="J36" s="67"/>
      <c r="T36" s="624" t="s">
        <v>953</v>
      </c>
      <c r="U36" s="624">
        <v>5</v>
      </c>
      <c r="V36" s="624">
        <v>4</v>
      </c>
      <c r="W36" s="624" t="s">
        <v>1319</v>
      </c>
      <c r="X36" s="627" t="s">
        <v>1588</v>
      </c>
      <c r="Y36" s="624"/>
      <c r="Z36" s="624" t="s">
        <v>1290</v>
      </c>
      <c r="AA36" s="624" t="s">
        <v>1289</v>
      </c>
      <c r="AB36" s="624" t="s">
        <v>44</v>
      </c>
      <c r="AC36" s="624"/>
      <c r="AD36" s="624"/>
      <c r="AE36" s="624"/>
      <c r="AG36" s="34" t="s">
        <v>459</v>
      </c>
      <c r="AH36" s="38" t="s">
        <v>503</v>
      </c>
      <c r="AI36" s="666" t="str">
        <f>INDEX('HVAC Types'!B$2:B$86,MATCH($AH36,'HVAC Types'!$A$2:$A$86,0))</f>
        <v>Cooling - HVAC Equipment</v>
      </c>
      <c r="AJ36" s="666" t="str">
        <f>INDEX('HVAC Types'!C$2:C$86,MATCH($AH36,'HVAC Types'!$A$2:$A$86,0))</f>
        <v>Air Conditioners</v>
      </c>
      <c r="AK36" s="666" t="str">
        <f>INDEX('HVAC Types'!D$2:D$86,MATCH($AH36,'HVAC Types'!$A$2:$A$86,0))</f>
        <v>ACR Air Cooled AC Packaged - AC721</v>
      </c>
      <c r="AL36" s="8"/>
      <c r="AM36" s="8"/>
      <c r="AN36" s="65" t="s">
        <v>210</v>
      </c>
      <c r="AO36" s="321">
        <v>11.4</v>
      </c>
      <c r="AP36" s="19">
        <v>10.199999999999999</v>
      </c>
      <c r="AQ36" s="19"/>
      <c r="AR36" s="19"/>
      <c r="AS36" s="20">
        <v>400</v>
      </c>
      <c r="AT36" s="18" t="s">
        <v>30</v>
      </c>
      <c r="AU36" s="19">
        <v>8.5</v>
      </c>
      <c r="AV36" s="19" t="s">
        <v>30</v>
      </c>
      <c r="AW36" s="40" t="s">
        <v>30</v>
      </c>
      <c r="AX36" s="936"/>
      <c r="AY36" s="919" t="s">
        <v>953</v>
      </c>
      <c r="AZ36" s="886"/>
      <c r="BA36" s="886">
        <v>10.4</v>
      </c>
      <c r="BB36" s="886"/>
      <c r="BC36" s="886">
        <v>3.1</v>
      </c>
      <c r="BD36" s="887">
        <v>2</v>
      </c>
      <c r="BE36" s="886" t="s">
        <v>30</v>
      </c>
      <c r="BF36" s="886" t="s">
        <v>30</v>
      </c>
      <c r="BG36" s="886" t="s">
        <v>30</v>
      </c>
      <c r="BH36" s="886" t="s">
        <v>30</v>
      </c>
      <c r="BI36" s="886" t="s">
        <v>30</v>
      </c>
      <c r="BJ36" s="886"/>
      <c r="BK36" s="920"/>
      <c r="BL36" s="886"/>
      <c r="BM36" s="886">
        <v>14</v>
      </c>
      <c r="BN36" s="886">
        <v>3.7</v>
      </c>
      <c r="BO36" s="890">
        <v>5.1999999999999998E-2</v>
      </c>
      <c r="BT36" s="546" t="s">
        <v>1455</v>
      </c>
      <c r="BU36" s="293"/>
      <c r="BV36"/>
      <c r="BW36" s="545">
        <v>8810</v>
      </c>
      <c r="BX36" s="545"/>
      <c r="BY36" s="545"/>
      <c r="BZ36" s="545"/>
      <c r="CA36" s="545"/>
      <c r="CB36" s="545"/>
      <c r="CC36" s="545"/>
      <c r="CD36" s="545"/>
      <c r="CE36" s="545"/>
      <c r="CF36" s="545"/>
      <c r="CG36" s="545"/>
      <c r="CH36" s="545"/>
      <c r="CI36" s="545"/>
    </row>
    <row r="37" spans="1:87" ht="14.5" x14ac:dyDescent="0.35">
      <c r="A37" s="2"/>
      <c r="B37" s="524">
        <v>15</v>
      </c>
      <c r="C37" s="2"/>
      <c r="D37" s="624"/>
      <c r="E37" s="34"/>
      <c r="F37" s="65" t="s">
        <v>254</v>
      </c>
      <c r="G37" s="984" t="s">
        <v>1798</v>
      </c>
      <c r="H37" s="984">
        <v>259</v>
      </c>
      <c r="I37" s="984">
        <v>704</v>
      </c>
      <c r="J37" s="67"/>
      <c r="T37" s="624" t="s">
        <v>877</v>
      </c>
      <c r="U37" s="624">
        <v>4</v>
      </c>
      <c r="V37" s="624">
        <v>3</v>
      </c>
      <c r="W37" s="624" t="s">
        <v>1320</v>
      </c>
      <c r="X37" s="627" t="s">
        <v>1588</v>
      </c>
      <c r="Y37" s="624"/>
      <c r="Z37" s="624" t="s">
        <v>867</v>
      </c>
      <c r="AA37" s="624" t="s">
        <v>44</v>
      </c>
      <c r="AB37" s="624"/>
      <c r="AC37" s="624"/>
      <c r="AD37" s="624"/>
      <c r="AE37" s="624"/>
      <c r="AG37" s="34" t="s">
        <v>472</v>
      </c>
      <c r="AH37" s="38" t="s">
        <v>515</v>
      </c>
      <c r="AI37" s="666" t="str">
        <f>INDEX('HVAC Types'!B$2:B$86,MATCH($AH37,'HVAC Types'!$A$2:$A$86,0))</f>
        <v>Cooling - HVAC Equipment</v>
      </c>
      <c r="AJ37" s="666" t="str">
        <f>INDEX('HVAC Types'!C$2:C$86,MATCH($AH37,'HVAC Types'!$A$2:$A$86,0))</f>
        <v>Air Conditioners</v>
      </c>
      <c r="AK37" s="666" t="str">
        <f>INDEX('HVAC Types'!D$2:D$86,MATCH($AH37,'HVAC Types'!$A$2:$A$86,0))</f>
        <v>ACR Air Cooled AC Packaged - AC722</v>
      </c>
      <c r="AL37" s="8"/>
      <c r="AM37" s="8"/>
      <c r="AN37" s="65" t="s">
        <v>211</v>
      </c>
      <c r="AO37" s="321">
        <v>11.4</v>
      </c>
      <c r="AP37" s="19">
        <v>10.199999999999999</v>
      </c>
      <c r="AQ37" s="19"/>
      <c r="AR37" s="19"/>
      <c r="AS37" s="20">
        <v>400</v>
      </c>
      <c r="AT37" s="18" t="s">
        <v>30</v>
      </c>
      <c r="AU37" s="19">
        <v>8.5</v>
      </c>
      <c r="AV37" s="19" t="s">
        <v>30</v>
      </c>
      <c r="AW37" s="40" t="s">
        <v>30</v>
      </c>
      <c r="AX37" s="936"/>
      <c r="AY37" s="921" t="s">
        <v>877</v>
      </c>
      <c r="AZ37" s="922">
        <v>15</v>
      </c>
      <c r="BA37" s="923">
        <v>12.5</v>
      </c>
      <c r="BB37" s="923">
        <v>8.5</v>
      </c>
      <c r="BC37" s="923"/>
      <c r="BD37" s="924">
        <v>2</v>
      </c>
      <c r="BE37" s="923">
        <v>16</v>
      </c>
      <c r="BF37" s="923">
        <v>13</v>
      </c>
      <c r="BG37" s="923">
        <v>9</v>
      </c>
      <c r="BH37" s="923"/>
      <c r="BI37" s="856">
        <v>230</v>
      </c>
      <c r="BJ37" s="925"/>
      <c r="BK37" s="926"/>
      <c r="BL37" s="923">
        <v>13</v>
      </c>
      <c r="BM37" s="923">
        <v>11.18</v>
      </c>
      <c r="BN37" s="923">
        <v>7.7</v>
      </c>
      <c r="BO37" s="927"/>
      <c r="BT37" s="546" t="s">
        <v>1456</v>
      </c>
      <c r="BU37" s="293"/>
      <c r="BV37"/>
      <c r="BW37" s="545">
        <v>8820</v>
      </c>
      <c r="BX37" s="545"/>
      <c r="BY37" s="545"/>
      <c r="BZ37" s="545"/>
      <c r="CA37" s="545"/>
      <c r="CB37" s="545"/>
      <c r="CC37" s="545"/>
      <c r="CD37" s="545"/>
      <c r="CE37" s="545"/>
      <c r="CF37" s="545"/>
      <c r="CG37" s="545"/>
      <c r="CH37" s="545"/>
      <c r="CI37" s="545"/>
    </row>
    <row r="38" spans="1:87" ht="14.5" x14ac:dyDescent="0.35">
      <c r="A38" s="2"/>
      <c r="B38" s="2"/>
      <c r="C38" s="2"/>
      <c r="D38" s="34"/>
      <c r="E38" s="34"/>
      <c r="F38" s="65" t="s">
        <v>255</v>
      </c>
      <c r="G38" s="984" t="s">
        <v>1799</v>
      </c>
      <c r="H38" s="984">
        <v>886</v>
      </c>
      <c r="I38" s="984">
        <v>420</v>
      </c>
      <c r="J38" s="67"/>
      <c r="T38" s="624" t="s">
        <v>878</v>
      </c>
      <c r="U38" s="624">
        <v>3</v>
      </c>
      <c r="V38" s="624">
        <v>3</v>
      </c>
      <c r="W38" s="624" t="s">
        <v>1320</v>
      </c>
      <c r="X38" s="627" t="s">
        <v>1588</v>
      </c>
      <c r="Y38" s="624"/>
      <c r="Z38" s="624" t="s">
        <v>867</v>
      </c>
      <c r="AA38" s="624" t="s">
        <v>44</v>
      </c>
      <c r="AB38" s="624"/>
      <c r="AC38" s="624"/>
      <c r="AD38" s="624"/>
      <c r="AE38" s="624"/>
      <c r="AG38" s="34" t="s">
        <v>460</v>
      </c>
      <c r="AH38" s="38" t="s">
        <v>504</v>
      </c>
      <c r="AI38" s="666" t="str">
        <f>INDEX('HVAC Types'!B$2:B$86,MATCH($AH38,'HVAC Types'!$A$2:$A$86,0))</f>
        <v>Cooling - HVAC Equipment</v>
      </c>
      <c r="AJ38" s="666" t="str">
        <f>INDEX('HVAC Types'!C$2:C$86,MATCH($AH38,'HVAC Types'!$A$2:$A$86,0))</f>
        <v>Air Conditioners</v>
      </c>
      <c r="AK38" s="666" t="str">
        <f>INDEX('HVAC Types'!D$2:D$86,MATCH($AH38,'HVAC Types'!$A$2:$A$86,0))</f>
        <v>ACR Evaporatively Cooled AC Split - AC811</v>
      </c>
      <c r="AL38" s="8"/>
      <c r="AM38" s="8"/>
      <c r="AN38" s="65" t="s">
        <v>625</v>
      </c>
      <c r="AO38" s="321">
        <v>11.4</v>
      </c>
      <c r="AP38" s="19">
        <v>10.199999999999999</v>
      </c>
      <c r="AQ38" s="19"/>
      <c r="AR38" s="19"/>
      <c r="AS38" s="20">
        <v>400</v>
      </c>
      <c r="AT38" s="18" t="s">
        <v>30</v>
      </c>
      <c r="AU38" s="19">
        <v>8.5</v>
      </c>
      <c r="AV38" s="19" t="s">
        <v>30</v>
      </c>
      <c r="AW38" s="40" t="s">
        <v>30</v>
      </c>
      <c r="AX38" s="936"/>
      <c r="AY38" s="928" t="s">
        <v>878</v>
      </c>
      <c r="AZ38" s="868">
        <v>14.6</v>
      </c>
      <c r="BA38" s="863">
        <v>11.3</v>
      </c>
      <c r="BB38" s="863"/>
      <c r="BC38" s="863">
        <v>3.4</v>
      </c>
      <c r="BD38" s="929">
        <v>2</v>
      </c>
      <c r="BE38" s="863" t="s">
        <v>30</v>
      </c>
      <c r="BF38" s="863" t="s">
        <v>30</v>
      </c>
      <c r="BG38" s="863" t="s">
        <v>30</v>
      </c>
      <c r="BH38" s="863" t="s">
        <v>30</v>
      </c>
      <c r="BI38" s="863" t="s">
        <v>30</v>
      </c>
      <c r="BJ38" s="930"/>
      <c r="BK38" s="931"/>
      <c r="BL38" s="932">
        <v>14.6</v>
      </c>
      <c r="BM38" s="932">
        <v>11</v>
      </c>
      <c r="BN38" s="932"/>
      <c r="BO38" s="933">
        <v>3.3</v>
      </c>
      <c r="BT38" s="546">
        <v>8800</v>
      </c>
      <c r="BU38" s="293"/>
      <c r="BV38"/>
      <c r="BW38" s="545">
        <v>8830</v>
      </c>
      <c r="BX38" s="545"/>
      <c r="BY38" s="545"/>
      <c r="BZ38" s="545"/>
      <c r="CA38" s="545"/>
      <c r="CB38" s="545"/>
      <c r="CC38" s="545"/>
      <c r="CD38" s="545"/>
      <c r="CE38" s="545"/>
      <c r="CF38" s="545"/>
      <c r="CG38" s="545"/>
      <c r="CH38" s="545"/>
      <c r="CI38" s="545"/>
    </row>
    <row r="39" spans="1:87" ht="14.5" x14ac:dyDescent="0.35">
      <c r="A39" s="2"/>
      <c r="B39" s="547" t="s">
        <v>1716</v>
      </c>
      <c r="C39" s="2"/>
      <c r="D39" s="34"/>
      <c r="E39" s="34"/>
      <c r="F39" s="8" t="s">
        <v>15</v>
      </c>
      <c r="G39" s="984" t="s">
        <v>1800</v>
      </c>
      <c r="H39" s="984">
        <v>818</v>
      </c>
      <c r="I39" s="984">
        <v>531</v>
      </c>
      <c r="J39" s="67"/>
      <c r="T39" s="624" t="s">
        <v>879</v>
      </c>
      <c r="U39" s="624">
        <v>3</v>
      </c>
      <c r="V39" s="624">
        <v>3</v>
      </c>
      <c r="W39" s="624" t="s">
        <v>1320</v>
      </c>
      <c r="X39" s="627" t="s">
        <v>1588</v>
      </c>
      <c r="Y39" s="624"/>
      <c r="Z39" s="624" t="s">
        <v>867</v>
      </c>
      <c r="AA39" s="624" t="s">
        <v>44</v>
      </c>
      <c r="AB39" s="624"/>
      <c r="AC39" s="624"/>
      <c r="AD39" s="624"/>
      <c r="AE39" s="624"/>
      <c r="AG39" s="34" t="s">
        <v>461</v>
      </c>
      <c r="AH39" s="38" t="s">
        <v>505</v>
      </c>
      <c r="AI39" s="666" t="str">
        <f>INDEX('HVAC Types'!B$2:B$86,MATCH($AH39,'HVAC Types'!$A$2:$A$86,0))</f>
        <v>Cooling - HVAC Equipment</v>
      </c>
      <c r="AJ39" s="666" t="str">
        <f>INDEX('HVAC Types'!C$2:C$86,MATCH($AH39,'HVAC Types'!$A$2:$A$86,0))</f>
        <v>Air Conditioners</v>
      </c>
      <c r="AK39" s="666" t="str">
        <f>INDEX('HVAC Types'!D$2:D$86,MATCH($AH39,'HVAC Types'!$A$2:$A$86,0))</f>
        <v>ACR Evaporatively Cooled AC Packaged - AC821</v>
      </c>
      <c r="AL39" s="8"/>
      <c r="AM39" s="8"/>
      <c r="AN39" s="65" t="s">
        <v>618</v>
      </c>
      <c r="AO39" s="321">
        <v>11.4</v>
      </c>
      <c r="AP39" s="19">
        <v>10.199999999999999</v>
      </c>
      <c r="AQ39" s="19"/>
      <c r="AR39" s="19"/>
      <c r="AS39" s="20">
        <v>400</v>
      </c>
      <c r="AT39" s="18" t="s">
        <v>30</v>
      </c>
      <c r="AU39" s="19">
        <v>8.5</v>
      </c>
      <c r="AV39" s="19" t="s">
        <v>30</v>
      </c>
      <c r="AW39" s="40" t="s">
        <v>30</v>
      </c>
      <c r="AX39" s="936"/>
      <c r="AY39" s="928" t="s">
        <v>879</v>
      </c>
      <c r="AZ39" s="868">
        <v>13.9</v>
      </c>
      <c r="BA39" s="863">
        <v>10.9</v>
      </c>
      <c r="BB39" s="863"/>
      <c r="BC39" s="863">
        <v>3.2</v>
      </c>
      <c r="BD39" s="929">
        <v>2</v>
      </c>
      <c r="BE39" s="863" t="s">
        <v>30</v>
      </c>
      <c r="BF39" s="863" t="s">
        <v>30</v>
      </c>
      <c r="BG39" s="863" t="s">
        <v>30</v>
      </c>
      <c r="BH39" s="863" t="s">
        <v>30</v>
      </c>
      <c r="BI39" s="863" t="s">
        <v>30</v>
      </c>
      <c r="BJ39" s="930"/>
      <c r="BK39" s="931"/>
      <c r="BL39" s="932">
        <v>13.9</v>
      </c>
      <c r="BM39" s="932">
        <v>10.6</v>
      </c>
      <c r="BN39" s="932"/>
      <c r="BO39" s="933">
        <v>3.2</v>
      </c>
      <c r="BT39" s="546">
        <v>8810</v>
      </c>
      <c r="BU39" s="293"/>
      <c r="BV39"/>
      <c r="BW39" s="545">
        <v>8840</v>
      </c>
      <c r="BX39" s="545"/>
      <c r="BY39" s="545"/>
      <c r="BZ39" s="545"/>
      <c r="CA39" s="545"/>
      <c r="CB39" s="545"/>
      <c r="CC39" s="545"/>
      <c r="CD39" s="545"/>
      <c r="CE39" s="545"/>
      <c r="CF39" s="545"/>
      <c r="CG39" s="545"/>
      <c r="CH39" s="545"/>
      <c r="CI39" s="545"/>
    </row>
    <row r="40" spans="1:87" ht="15" thickBot="1" x14ac:dyDescent="0.4">
      <c r="A40" s="2"/>
      <c r="B40" s="604">
        <v>7</v>
      </c>
      <c r="C40" s="2"/>
      <c r="D40" s="34"/>
      <c r="E40" s="34"/>
      <c r="F40" s="8" t="s">
        <v>256</v>
      </c>
      <c r="G40" s="984" t="s">
        <v>1801</v>
      </c>
      <c r="H40" s="984">
        <v>1208</v>
      </c>
      <c r="I40" s="984">
        <v>1104</v>
      </c>
      <c r="J40" s="67"/>
      <c r="T40" s="624" t="s">
        <v>880</v>
      </c>
      <c r="U40" s="624">
        <v>3</v>
      </c>
      <c r="V40" s="624">
        <v>3</v>
      </c>
      <c r="W40" s="624" t="s">
        <v>1320</v>
      </c>
      <c r="X40" s="627" t="s">
        <v>1588</v>
      </c>
      <c r="Y40" s="624"/>
      <c r="Z40" s="624" t="s">
        <v>867</v>
      </c>
      <c r="AA40" s="624" t="s">
        <v>44</v>
      </c>
      <c r="AB40" s="624"/>
      <c r="AC40" s="624"/>
      <c r="AD40" s="624"/>
      <c r="AE40" s="624"/>
      <c r="AG40" s="65" t="s">
        <v>1249</v>
      </c>
      <c r="AH40" s="38" t="s">
        <v>934</v>
      </c>
      <c r="AI40" s="666" t="str">
        <f>INDEX('HVAC Types'!B$2:B$86,MATCH($AH40,'HVAC Types'!$A$2:$A$86,0))</f>
        <v>Cooling - HVAC Equipment</v>
      </c>
      <c r="AJ40" s="666" t="str">
        <f>INDEX('HVAC Types'!C$2:C$86,MATCH($AH40,'HVAC Types'!$A$2:$A$86,0))</f>
        <v>Air Conditioners</v>
      </c>
      <c r="AK40" s="666" t="str">
        <f>INDEX('HVAC Types'!D$2:D$86,MATCH($AH40,'HVAC Types'!$A$2:$A$86,0))</f>
        <v>ACR Packaged Termincal AC - PTAC101</v>
      </c>
      <c r="AN40" s="65" t="s">
        <v>212</v>
      </c>
      <c r="AO40" s="321">
        <v>11.4</v>
      </c>
      <c r="AP40" s="19">
        <v>10.199999999999999</v>
      </c>
      <c r="AQ40" s="19"/>
      <c r="AR40" s="19"/>
      <c r="AS40" s="20">
        <v>400</v>
      </c>
      <c r="AT40" s="18" t="s">
        <v>30</v>
      </c>
      <c r="AU40" s="19">
        <v>8.5</v>
      </c>
      <c r="AV40" s="19" t="s">
        <v>30</v>
      </c>
      <c r="AW40" s="40" t="s">
        <v>30</v>
      </c>
      <c r="AX40" s="936"/>
      <c r="AY40" s="928" t="s">
        <v>880</v>
      </c>
      <c r="AZ40" s="868">
        <v>12.7</v>
      </c>
      <c r="BA40" s="863">
        <v>10.3</v>
      </c>
      <c r="BB40" s="863"/>
      <c r="BC40" s="863">
        <v>3.2</v>
      </c>
      <c r="BD40" s="929">
        <v>2</v>
      </c>
      <c r="BE40" s="863" t="s">
        <v>30</v>
      </c>
      <c r="BF40" s="863" t="s">
        <v>30</v>
      </c>
      <c r="BG40" s="863" t="s">
        <v>30</v>
      </c>
      <c r="BH40" s="863" t="s">
        <v>30</v>
      </c>
      <c r="BI40" s="863" t="s">
        <v>30</v>
      </c>
      <c r="BJ40" s="930"/>
      <c r="BK40" s="931"/>
      <c r="BL40" s="932">
        <v>12.7</v>
      </c>
      <c r="BM40" s="932">
        <v>9.5</v>
      </c>
      <c r="BN40" s="932"/>
      <c r="BO40" s="933">
        <v>3.2</v>
      </c>
      <c r="BT40" s="546">
        <v>8820</v>
      </c>
      <c r="BU40" s="293"/>
      <c r="BV40"/>
      <c r="BX40" s="545"/>
      <c r="BY40" s="545"/>
      <c r="BZ40" s="545"/>
      <c r="CA40" s="545"/>
      <c r="CB40" s="545"/>
      <c r="CC40" s="545"/>
      <c r="CD40" s="545"/>
      <c r="CE40" s="545"/>
      <c r="CF40" s="545"/>
      <c r="CG40" s="545"/>
      <c r="CH40" s="545"/>
      <c r="CI40" s="545"/>
    </row>
    <row r="41" spans="1:87" ht="15" thickBot="1" x14ac:dyDescent="0.4">
      <c r="A41" s="2"/>
      <c r="B41" s="2"/>
      <c r="C41" s="2"/>
      <c r="D41" s="34"/>
      <c r="E41" s="34"/>
      <c r="F41" s="8" t="s">
        <v>257</v>
      </c>
      <c r="G41" s="984" t="s">
        <v>1802</v>
      </c>
      <c r="H41" s="984">
        <v>371</v>
      </c>
      <c r="I41" s="984">
        <v>441</v>
      </c>
      <c r="J41" s="67"/>
      <c r="T41" s="624" t="s">
        <v>881</v>
      </c>
      <c r="U41" s="624">
        <v>5</v>
      </c>
      <c r="V41" s="624">
        <v>3</v>
      </c>
      <c r="W41" s="624" t="s">
        <v>873</v>
      </c>
      <c r="X41" s="627" t="s">
        <v>1588</v>
      </c>
      <c r="Y41" s="624"/>
      <c r="Z41" s="624" t="s">
        <v>867</v>
      </c>
      <c r="AA41" s="624" t="s">
        <v>44</v>
      </c>
      <c r="AB41" s="624"/>
      <c r="AC41" s="624"/>
      <c r="AD41" s="624"/>
      <c r="AE41" s="624"/>
      <c r="AG41" s="65" t="s">
        <v>1250</v>
      </c>
      <c r="AH41" s="38" t="s">
        <v>937</v>
      </c>
      <c r="AI41" s="666" t="str">
        <f>INDEX('HVAC Types'!B$2:B$86,MATCH($AH41,'HVAC Types'!$A$2:$A$86,0))</f>
        <v>Cooling - HVAC Equipment</v>
      </c>
      <c r="AJ41" s="666" t="str">
        <f>INDEX('HVAC Types'!C$2:C$86,MATCH($AH41,'HVAC Types'!$A$2:$A$86,0))</f>
        <v>Air Conditioners</v>
      </c>
      <c r="AK41" s="666" t="str">
        <f>INDEX('HVAC Types'!D$2:D$86,MATCH($AH41,'HVAC Types'!$A$2:$A$86,0))</f>
        <v>ACR Packaged Termincal AC - PTAC201</v>
      </c>
      <c r="AN41" s="65" t="s">
        <v>213</v>
      </c>
      <c r="AO41" s="321">
        <v>11.4</v>
      </c>
      <c r="AP41" s="19">
        <v>10.199999999999999</v>
      </c>
      <c r="AQ41" s="19"/>
      <c r="AR41" s="19"/>
      <c r="AS41" s="20">
        <v>400</v>
      </c>
      <c r="AT41" s="18" t="s">
        <v>30</v>
      </c>
      <c r="AU41" s="19">
        <v>8.5</v>
      </c>
      <c r="AV41" s="19" t="s">
        <v>30</v>
      </c>
      <c r="AW41" s="40" t="s">
        <v>30</v>
      </c>
      <c r="AX41" s="942"/>
      <c r="AY41" s="948" t="s">
        <v>881</v>
      </c>
      <c r="AZ41" s="848"/>
      <c r="BA41" s="849">
        <v>14</v>
      </c>
      <c r="BB41" s="849"/>
      <c r="BC41" s="849">
        <v>4.5999999999999996</v>
      </c>
      <c r="BD41" s="949">
        <v>2</v>
      </c>
      <c r="BE41" s="849" t="s">
        <v>30</v>
      </c>
      <c r="BF41" s="849" t="s">
        <v>30</v>
      </c>
      <c r="BG41" s="849" t="s">
        <v>30</v>
      </c>
      <c r="BH41" s="849" t="s">
        <v>30</v>
      </c>
      <c r="BI41" s="849" t="s">
        <v>30</v>
      </c>
      <c r="BJ41" s="950"/>
      <c r="BK41" s="951"/>
      <c r="BL41" s="966">
        <v>16</v>
      </c>
      <c r="BM41" s="952">
        <v>12</v>
      </c>
      <c r="BN41" s="952"/>
      <c r="BO41" s="953">
        <v>4.3</v>
      </c>
      <c r="BT41" s="546">
        <v>8830</v>
      </c>
      <c r="BU41" s="293"/>
      <c r="BV41"/>
      <c r="BX41" s="545"/>
      <c r="BY41" s="545"/>
      <c r="BZ41" s="545"/>
      <c r="CA41" s="545"/>
      <c r="CB41" s="545"/>
      <c r="CC41" s="545"/>
      <c r="CD41" s="545"/>
      <c r="CE41" s="545"/>
      <c r="CF41" s="545"/>
      <c r="CG41" s="545"/>
      <c r="CH41" s="545"/>
      <c r="CI41" s="545"/>
    </row>
    <row r="42" spans="1:87" ht="14.5" x14ac:dyDescent="0.35">
      <c r="A42" s="2"/>
      <c r="B42" s="547" t="s">
        <v>1717</v>
      </c>
      <c r="C42" s="2"/>
      <c r="D42" s="34"/>
      <c r="E42" s="34"/>
      <c r="F42" s="8" t="s">
        <v>16</v>
      </c>
      <c r="G42" s="984" t="s">
        <v>180</v>
      </c>
      <c r="H42" s="984">
        <v>683</v>
      </c>
      <c r="I42" s="984">
        <v>664</v>
      </c>
      <c r="J42" s="67"/>
      <c r="T42" s="624" t="s">
        <v>1695</v>
      </c>
      <c r="U42" s="624">
        <v>4</v>
      </c>
      <c r="V42" s="624">
        <v>3</v>
      </c>
      <c r="W42" s="624" t="s">
        <v>1286</v>
      </c>
      <c r="X42" s="627" t="s">
        <v>1588</v>
      </c>
      <c r="Y42" s="624"/>
      <c r="Z42" s="624" t="s">
        <v>1282</v>
      </c>
      <c r="AA42" s="624" t="s">
        <v>1283</v>
      </c>
      <c r="AB42" s="624" t="s">
        <v>1286</v>
      </c>
      <c r="AC42" s="624" t="s">
        <v>1287</v>
      </c>
      <c r="AD42" s="624" t="s">
        <v>180</v>
      </c>
      <c r="AE42" s="624" t="s">
        <v>44</v>
      </c>
      <c r="AG42" s="65" t="s">
        <v>1251</v>
      </c>
      <c r="AH42" s="38" t="s">
        <v>939</v>
      </c>
      <c r="AI42" s="666" t="str">
        <f>INDEX('HVAC Types'!B$2:B$86,MATCH($AH42,'HVAC Types'!$A$2:$A$86,0))</f>
        <v>Cooling - HVAC Equipment</v>
      </c>
      <c r="AJ42" s="666" t="str">
        <f>INDEX('HVAC Types'!C$2:C$86,MATCH($AH42,'HVAC Types'!$A$2:$A$86,0))</f>
        <v>Air Conditioners</v>
      </c>
      <c r="AK42" s="666" t="str">
        <f>INDEX('HVAC Types'!D$2:D$86,MATCH($AH42,'HVAC Types'!$A$2:$A$86,0))</f>
        <v>ACR Packaged Termincal AC - PTAC301</v>
      </c>
      <c r="AN42" s="65" t="s">
        <v>626</v>
      </c>
      <c r="AO42" s="321">
        <v>11.4</v>
      </c>
      <c r="AP42" s="19">
        <v>10.199999999999999</v>
      </c>
      <c r="AQ42" s="19"/>
      <c r="AR42" s="19"/>
      <c r="AS42" s="20">
        <v>400</v>
      </c>
      <c r="AT42" s="18" t="s">
        <v>30</v>
      </c>
      <c r="AU42" s="19">
        <v>8.5</v>
      </c>
      <c r="AV42" s="19" t="s">
        <v>30</v>
      </c>
      <c r="AW42" s="40" t="s">
        <v>30</v>
      </c>
      <c r="AX42" s="942"/>
      <c r="AY42" s="954" t="s">
        <v>1695</v>
      </c>
      <c r="AZ42" s="855">
        <v>17</v>
      </c>
      <c r="BA42" s="856">
        <v>11.76</v>
      </c>
      <c r="BB42" s="856">
        <v>10</v>
      </c>
      <c r="BC42" s="955"/>
      <c r="BD42" s="924">
        <v>2</v>
      </c>
      <c r="BE42" s="856" t="s">
        <v>30</v>
      </c>
      <c r="BF42" s="856" t="s">
        <v>30</v>
      </c>
      <c r="BG42" s="856" t="s">
        <v>30</v>
      </c>
      <c r="BH42" s="856" t="s">
        <v>30</v>
      </c>
      <c r="BI42" s="856">
        <v>1000</v>
      </c>
      <c r="BJ42" s="956">
        <v>2500</v>
      </c>
      <c r="BK42" s="956">
        <v>2500</v>
      </c>
      <c r="BL42" s="855">
        <v>14</v>
      </c>
      <c r="BM42" s="967">
        <v>11.8</v>
      </c>
      <c r="BN42" s="955">
        <v>8.1999999999999993</v>
      </c>
      <c r="BO42" s="957">
        <v>2.4032825322391558</v>
      </c>
      <c r="BT42" s="546">
        <v>8840</v>
      </c>
      <c r="BU42" s="293"/>
      <c r="BV42"/>
      <c r="BW42"/>
      <c r="BX42"/>
      <c r="BY42"/>
      <c r="BZ42"/>
      <c r="CA42"/>
      <c r="CB42"/>
      <c r="CC42"/>
      <c r="CD42"/>
      <c r="CE42"/>
      <c r="CF42"/>
      <c r="CG42"/>
      <c r="CH42"/>
      <c r="CI42"/>
    </row>
    <row r="43" spans="1:87" ht="14.5" x14ac:dyDescent="0.35">
      <c r="A43" s="2"/>
      <c r="B43" s="604">
        <v>5</v>
      </c>
      <c r="C43" s="2"/>
      <c r="D43" s="34"/>
      <c r="E43" s="34"/>
      <c r="F43" s="8" t="s">
        <v>258</v>
      </c>
      <c r="G43" s="33"/>
      <c r="H43" s="33"/>
      <c r="I43" s="33"/>
      <c r="T43" s="32" t="s">
        <v>1903</v>
      </c>
      <c r="U43" s="624">
        <v>4</v>
      </c>
      <c r="V43" s="624">
        <v>3</v>
      </c>
      <c r="W43" s="32" t="s">
        <v>1285</v>
      </c>
      <c r="X43" s="627" t="s">
        <v>1588</v>
      </c>
      <c r="Y43" s="32"/>
      <c r="Z43" s="32" t="s">
        <v>179</v>
      </c>
      <c r="AA43" s="32" t="s">
        <v>173</v>
      </c>
      <c r="AB43" s="32" t="s">
        <v>1285</v>
      </c>
      <c r="AC43" s="32" t="s">
        <v>180</v>
      </c>
      <c r="AD43" s="32" t="s">
        <v>44</v>
      </c>
      <c r="AE43" s="32"/>
      <c r="AG43" s="34" t="s">
        <v>569</v>
      </c>
      <c r="AH43" s="38" t="s">
        <v>546</v>
      </c>
      <c r="AI43" s="666" t="str">
        <f>INDEX('HVAC Types'!B$2:B$86,MATCH($AH43,'HVAC Types'!$A$2:$A$86,0))</f>
        <v>Cooling - HVAC Equipment</v>
      </c>
      <c r="AJ43" s="666" t="str">
        <f>INDEX('HVAC Types'!C$2:C$86,MATCH($AH43,'HVAC Types'!$A$2:$A$86,0))</f>
        <v>Heat Pump</v>
      </c>
      <c r="AK43" s="666" t="str">
        <f>INDEX('HVAC Types'!D$2:D$86,MATCH($AH43,'HVAC Types'!$A$2:$A$86,0))</f>
        <v>ACR Geothermal Heat Pump Closed Loop - GHP100</v>
      </c>
      <c r="AL43" s="8"/>
      <c r="AM43" s="8"/>
      <c r="AN43" s="65" t="s">
        <v>629</v>
      </c>
      <c r="AP43" s="19">
        <v>17</v>
      </c>
      <c r="AQ43" s="19"/>
      <c r="AR43" s="19">
        <v>3.5</v>
      </c>
      <c r="AS43" s="20">
        <v>2000</v>
      </c>
      <c r="AT43" s="18" t="s">
        <v>30</v>
      </c>
      <c r="AU43" s="19">
        <v>9.5</v>
      </c>
      <c r="AV43" s="19" t="s">
        <v>30</v>
      </c>
      <c r="AW43" s="40" t="s">
        <v>30</v>
      </c>
      <c r="AX43" s="942"/>
      <c r="AY43" s="958" t="s">
        <v>1903</v>
      </c>
      <c r="AZ43" s="868">
        <v>18</v>
      </c>
      <c r="BA43" s="863">
        <v>11.76</v>
      </c>
      <c r="BB43" s="863">
        <v>10</v>
      </c>
      <c r="BC43" s="959"/>
      <c r="BD43" s="929">
        <v>2</v>
      </c>
      <c r="BE43" s="863" t="s">
        <v>30</v>
      </c>
      <c r="BF43" s="863" t="s">
        <v>30</v>
      </c>
      <c r="BG43" s="863" t="s">
        <v>30</v>
      </c>
      <c r="BH43" s="863" t="s">
        <v>30</v>
      </c>
      <c r="BI43" s="931">
        <v>1000</v>
      </c>
      <c r="BJ43" s="960">
        <v>2500</v>
      </c>
      <c r="BK43" s="960">
        <v>2500</v>
      </c>
      <c r="BL43" s="868">
        <v>14</v>
      </c>
      <c r="BM43" s="940">
        <v>11.8</v>
      </c>
      <c r="BN43" s="959">
        <v>8.1999999999999993</v>
      </c>
      <c r="BO43" s="961">
        <v>2.4032825322391558</v>
      </c>
      <c r="BT43" s="546" t="s">
        <v>1463</v>
      </c>
      <c r="BU43" s="293"/>
      <c r="BV43"/>
      <c r="BW43" t="s">
        <v>1504</v>
      </c>
      <c r="BX43"/>
      <c r="BY43"/>
      <c r="BZ43"/>
      <c r="CA43"/>
      <c r="CB43"/>
      <c r="CC43"/>
      <c r="CD43"/>
      <c r="CE43"/>
      <c r="CF43"/>
      <c r="CG43"/>
      <c r="CH43"/>
      <c r="CI43"/>
    </row>
    <row r="44" spans="1:87" ht="15" thickBot="1" x14ac:dyDescent="0.4">
      <c r="A44" s="2"/>
      <c r="B44" s="2"/>
      <c r="C44" s="2"/>
      <c r="D44" s="34"/>
      <c r="E44" s="34"/>
      <c r="F44" s="8" t="s">
        <v>259</v>
      </c>
      <c r="G44" s="34"/>
      <c r="H44" s="34"/>
      <c r="I44" s="34"/>
      <c r="T44" s="32" t="s">
        <v>1696</v>
      </c>
      <c r="U44" s="32">
        <v>4</v>
      </c>
      <c r="V44" s="32">
        <v>3</v>
      </c>
      <c r="W44" s="32" t="s">
        <v>1285</v>
      </c>
      <c r="X44" s="783" t="s">
        <v>1588</v>
      </c>
      <c r="Y44" s="32"/>
      <c r="Z44" s="32" t="s">
        <v>179</v>
      </c>
      <c r="AA44" s="32" t="s">
        <v>173</v>
      </c>
      <c r="AB44" s="32" t="s">
        <v>1285</v>
      </c>
      <c r="AC44" s="32" t="s">
        <v>180</v>
      </c>
      <c r="AD44" s="32" t="s">
        <v>44</v>
      </c>
      <c r="AE44" s="32"/>
      <c r="AG44" s="34" t="s">
        <v>570</v>
      </c>
      <c r="AH44" s="38" t="s">
        <v>547</v>
      </c>
      <c r="AI44" s="666" t="str">
        <f>INDEX('HVAC Types'!B$2:B$86,MATCH($AH44,'HVAC Types'!$A$2:$A$86,0))</f>
        <v>Cooling - HVAC Equipment</v>
      </c>
      <c r="AJ44" s="666" t="str">
        <f>INDEX('HVAC Types'!C$2:C$86,MATCH($AH44,'HVAC Types'!$A$2:$A$86,0))</f>
        <v>Heat Pump</v>
      </c>
      <c r="AK44" s="666" t="str">
        <f>INDEX('HVAC Types'!D$2:D$86,MATCH($AH44,'HVAC Types'!$A$2:$A$86,0))</f>
        <v>Geothermal Heat Pump Closed Loop - GHP101</v>
      </c>
      <c r="AL44" s="8"/>
      <c r="AM44" s="8"/>
      <c r="AN44" s="65" t="s">
        <v>584</v>
      </c>
      <c r="AP44" s="19">
        <v>17</v>
      </c>
      <c r="AQ44" s="19"/>
      <c r="AR44" s="19">
        <v>3.5</v>
      </c>
      <c r="AS44" s="20">
        <v>2000</v>
      </c>
      <c r="AT44" s="18" t="s">
        <v>30</v>
      </c>
      <c r="AU44" s="19">
        <v>9.5</v>
      </c>
      <c r="AV44" s="19" t="s">
        <v>30</v>
      </c>
      <c r="AW44" s="40" t="s">
        <v>30</v>
      </c>
      <c r="AX44" s="942"/>
      <c r="AY44" s="962" t="s">
        <v>1696</v>
      </c>
      <c r="AZ44" s="871">
        <v>18</v>
      </c>
      <c r="BA44" s="872">
        <v>11.76</v>
      </c>
      <c r="BB44" s="872">
        <v>10</v>
      </c>
      <c r="BC44" s="963"/>
      <c r="BD44" s="934">
        <v>2</v>
      </c>
      <c r="BE44" s="872" t="s">
        <v>30</v>
      </c>
      <c r="BF44" s="872" t="s">
        <v>30</v>
      </c>
      <c r="BG44" s="872" t="s">
        <v>30</v>
      </c>
      <c r="BH44" s="872" t="s">
        <v>30</v>
      </c>
      <c r="BI44" s="935">
        <v>1000</v>
      </c>
      <c r="BJ44" s="964">
        <v>2500</v>
      </c>
      <c r="BK44" s="964">
        <v>2500</v>
      </c>
      <c r="BL44" s="871">
        <v>14</v>
      </c>
      <c r="BM44" s="944">
        <v>11.8</v>
      </c>
      <c r="BN44" s="963">
        <v>8.1999999999999993</v>
      </c>
      <c r="BO44" s="965">
        <v>2.4032825322391558</v>
      </c>
      <c r="BT44" s="546" t="s">
        <v>1464</v>
      </c>
      <c r="BU44" s="293"/>
      <c r="BV44"/>
      <c r="BW44" s="547" t="s">
        <v>1292</v>
      </c>
      <c r="BX44" s="547" t="s">
        <v>1446</v>
      </c>
      <c r="BY44" s="547" t="s">
        <v>1447</v>
      </c>
      <c r="BZ44" s="547" t="s">
        <v>1449</v>
      </c>
      <c r="CA44" s="547" t="s">
        <v>1450</v>
      </c>
      <c r="CB44" s="547" t="s">
        <v>1452</v>
      </c>
      <c r="CC44" s="547" t="s">
        <v>1454</v>
      </c>
      <c r="CD44" s="547" t="s">
        <v>1416</v>
      </c>
      <c r="CE44" s="547" t="s">
        <v>1457</v>
      </c>
      <c r="CF44" s="547" t="s">
        <v>1458</v>
      </c>
      <c r="CG44" s="547" t="s">
        <v>1459</v>
      </c>
      <c r="CH44" s="600" t="s">
        <v>1710</v>
      </c>
      <c r="CI44"/>
    </row>
    <row r="45" spans="1:87" ht="14.5" x14ac:dyDescent="0.35">
      <c r="A45" s="2"/>
      <c r="B45" s="547" t="s">
        <v>1718</v>
      </c>
      <c r="C45" s="2"/>
      <c r="D45" s="34"/>
      <c r="E45" s="34"/>
      <c r="F45" s="8" t="s">
        <v>260</v>
      </c>
      <c r="G45" s="33"/>
      <c r="H45" s="33"/>
      <c r="I45" s="33"/>
      <c r="AG45" s="34" t="s">
        <v>571</v>
      </c>
      <c r="AH45" s="38" t="s">
        <v>550</v>
      </c>
      <c r="AI45" s="666" t="str">
        <f>INDEX('HVAC Types'!B$2:B$86,MATCH($AH45,'HVAC Types'!$A$2:$A$86,0))</f>
        <v>Cooling - HVAC Equipment</v>
      </c>
      <c r="AJ45" s="666" t="str">
        <f>INDEX('HVAC Types'!C$2:C$86,MATCH($AH45,'HVAC Types'!$A$2:$A$86,0))</f>
        <v>Heat Pump</v>
      </c>
      <c r="AK45" s="666" t="str">
        <f>INDEX('HVAC Types'!D$2:D$86,MATCH($AH45,'HVAC Types'!$A$2:$A$86,0))</f>
        <v>Geothermal Heat Pump Closed Loop - GHP102</v>
      </c>
      <c r="AL45" s="8"/>
      <c r="AM45" s="8"/>
      <c r="AN45" s="65" t="s">
        <v>581</v>
      </c>
      <c r="AO45" s="18"/>
      <c r="AP45" s="19">
        <v>17</v>
      </c>
      <c r="AQ45" s="19"/>
      <c r="AR45" s="19">
        <v>3.5</v>
      </c>
      <c r="AS45" s="20">
        <v>2000</v>
      </c>
      <c r="AT45" s="18" t="s">
        <v>30</v>
      </c>
      <c r="AU45" s="19">
        <v>9.5</v>
      </c>
      <c r="AV45" s="19" t="s">
        <v>30</v>
      </c>
      <c r="AW45" s="40" t="s">
        <v>30</v>
      </c>
      <c r="AY45" s="215" t="s">
        <v>1613</v>
      </c>
      <c r="AZ45" s="309"/>
      <c r="BA45" s="310"/>
      <c r="BB45" s="310"/>
      <c r="BC45" s="37"/>
      <c r="BD45" s="529"/>
      <c r="BE45" s="310"/>
      <c r="BF45" s="310"/>
      <c r="BG45" s="310"/>
      <c r="BH45" s="310"/>
      <c r="BI45" s="564">
        <v>500</v>
      </c>
      <c r="BJ45" s="32"/>
      <c r="BK45" s="39"/>
      <c r="BL45" s="37"/>
      <c r="BM45" s="37"/>
      <c r="BN45" s="37"/>
      <c r="BO45" s="39"/>
      <c r="BT45" s="546" t="s">
        <v>1466</v>
      </c>
      <c r="BU45" s="293"/>
      <c r="BV45"/>
      <c r="BW45" t="s">
        <v>1505</v>
      </c>
      <c r="BX45" t="s">
        <v>1505</v>
      </c>
      <c r="BY45" t="s">
        <v>1506</v>
      </c>
      <c r="BZ45" t="s">
        <v>1507</v>
      </c>
      <c r="CA45" t="s">
        <v>1508</v>
      </c>
      <c r="CB45" t="s">
        <v>1509</v>
      </c>
      <c r="CC45" t="s">
        <v>1510</v>
      </c>
      <c r="CD45" t="s">
        <v>1511</v>
      </c>
      <c r="CE45" t="s">
        <v>1512</v>
      </c>
      <c r="CF45" t="s">
        <v>1513</v>
      </c>
      <c r="CG45" t="s">
        <v>1514</v>
      </c>
      <c r="CH45" s="601" t="s">
        <v>1711</v>
      </c>
      <c r="CI45"/>
    </row>
    <row r="46" spans="1:87" ht="14.5" x14ac:dyDescent="0.35">
      <c r="A46" s="2"/>
      <c r="B46" s="604">
        <v>7</v>
      </c>
      <c r="C46" s="2"/>
      <c r="D46" s="34"/>
      <c r="E46" s="34"/>
      <c r="F46" s="8" t="s">
        <v>261</v>
      </c>
      <c r="G46" s="33"/>
      <c r="H46" s="33"/>
      <c r="I46" s="33"/>
      <c r="AG46" s="34" t="s">
        <v>572</v>
      </c>
      <c r="AH46" s="38" t="s">
        <v>548</v>
      </c>
      <c r="AI46" s="666" t="str">
        <f>INDEX('HVAC Types'!B$2:B$86,MATCH($AH46,'HVAC Types'!$A$2:$A$86,0))</f>
        <v>Cooling - HVAC Equipment</v>
      </c>
      <c r="AJ46" s="666" t="str">
        <f>INDEX('HVAC Types'!C$2:C$86,MATCH($AH46,'HVAC Types'!$A$2:$A$86,0))</f>
        <v>Heat Pump</v>
      </c>
      <c r="AK46" s="666" t="str">
        <f>INDEX('HVAC Types'!D$2:D$86,MATCH($AH46,'HVAC Types'!$A$2:$A$86,0))</f>
        <v>ACR Geothermal Heat Pump Open Loop - GHP200</v>
      </c>
      <c r="AL46" s="8"/>
      <c r="AM46" s="8"/>
      <c r="AN46" s="65" t="s">
        <v>631</v>
      </c>
      <c r="AP46" s="19">
        <v>17</v>
      </c>
      <c r="AQ46" s="19"/>
      <c r="AR46" s="19">
        <v>3.5</v>
      </c>
      <c r="AS46" s="20">
        <v>2000</v>
      </c>
      <c r="AT46" s="18" t="s">
        <v>30</v>
      </c>
      <c r="AU46" s="19">
        <v>9.5</v>
      </c>
      <c r="AV46" s="19" t="s">
        <v>30</v>
      </c>
      <c r="AW46" s="40" t="s">
        <v>30</v>
      </c>
      <c r="BT46" s="546" t="s">
        <v>1474</v>
      </c>
      <c r="BU46" s="293"/>
      <c r="BV46"/>
      <c r="BW46"/>
      <c r="BX46"/>
      <c r="BY46"/>
      <c r="BZ46"/>
      <c r="CA46" t="s">
        <v>1515</v>
      </c>
      <c r="CB46"/>
      <c r="CC46"/>
      <c r="CD46" t="s">
        <v>1516</v>
      </c>
      <c r="CE46" t="s">
        <v>1517</v>
      </c>
      <c r="CF46"/>
      <c r="CG46" t="s">
        <v>1518</v>
      </c>
      <c r="CH46" s="601"/>
      <c r="CI46"/>
    </row>
    <row r="47" spans="1:87" ht="14.5" x14ac:dyDescent="0.35">
      <c r="A47" s="2"/>
      <c r="B47" s="2"/>
      <c r="C47" s="2"/>
      <c r="D47" s="34"/>
      <c r="E47" s="34"/>
      <c r="F47" s="8" t="s">
        <v>262</v>
      </c>
      <c r="G47" s="33"/>
      <c r="H47" s="33"/>
      <c r="I47" s="33"/>
      <c r="AG47" s="34" t="s">
        <v>573</v>
      </c>
      <c r="AH47" s="38" t="s">
        <v>549</v>
      </c>
      <c r="AI47" s="666" t="str">
        <f>INDEX('HVAC Types'!B$2:B$86,MATCH($AH47,'HVAC Types'!$A$2:$A$86,0))</f>
        <v>Cooling - HVAC Equipment</v>
      </c>
      <c r="AJ47" s="666" t="str">
        <f>INDEX('HVAC Types'!C$2:C$86,MATCH($AH47,'HVAC Types'!$A$2:$A$86,0))</f>
        <v>Heat Pump</v>
      </c>
      <c r="AK47" s="666" t="str">
        <f>INDEX('HVAC Types'!D$2:D$86,MATCH($AH47,'HVAC Types'!$A$2:$A$86,0))</f>
        <v>Geothermal Heat Pump Open Loop - GHP201</v>
      </c>
      <c r="AL47" s="8"/>
      <c r="AM47" s="8"/>
      <c r="AN47" s="65" t="s">
        <v>630</v>
      </c>
      <c r="AP47" s="19">
        <v>20</v>
      </c>
      <c r="AQ47" s="19"/>
      <c r="AR47" s="19">
        <v>4.2</v>
      </c>
      <c r="AS47" s="20">
        <v>2000</v>
      </c>
      <c r="AT47" s="18" t="s">
        <v>30</v>
      </c>
      <c r="AU47" s="19">
        <v>9.5</v>
      </c>
      <c r="AV47" s="19" t="s">
        <v>30</v>
      </c>
      <c r="AW47" s="40" t="s">
        <v>30</v>
      </c>
      <c r="BT47" s="546" t="s">
        <v>1483</v>
      </c>
      <c r="BU47" s="293"/>
      <c r="BV47"/>
      <c r="BW47"/>
      <c r="BX47"/>
      <c r="BY47"/>
      <c r="BZ47"/>
      <c r="CA47" t="s">
        <v>1519</v>
      </c>
      <c r="CB47"/>
      <c r="CC47"/>
      <c r="CD47" t="s">
        <v>1520</v>
      </c>
      <c r="CE47"/>
      <c r="CF47"/>
      <c r="CG47" t="s">
        <v>1521</v>
      </c>
      <c r="CH47" s="601"/>
      <c r="CI47"/>
    </row>
    <row r="48" spans="1:87" ht="14.5" x14ac:dyDescent="0.35">
      <c r="A48" s="2"/>
      <c r="B48" s="547" t="s">
        <v>1743</v>
      </c>
      <c r="C48" s="2"/>
      <c r="D48" s="34"/>
      <c r="E48" s="34"/>
      <c r="F48" s="8" t="s">
        <v>263</v>
      </c>
      <c r="G48" s="33"/>
      <c r="H48" s="33"/>
      <c r="I48" s="33"/>
      <c r="AG48" s="34" t="s">
        <v>574</v>
      </c>
      <c r="AH48" s="38" t="s">
        <v>551</v>
      </c>
      <c r="AI48" s="666" t="str">
        <f>INDEX('HVAC Types'!B$2:B$86,MATCH($AH48,'HVAC Types'!$A$2:$A$86,0))</f>
        <v>Cooling - HVAC Equipment</v>
      </c>
      <c r="AJ48" s="666" t="str">
        <f>INDEX('HVAC Types'!C$2:C$86,MATCH($AH48,'HVAC Types'!$A$2:$A$86,0))</f>
        <v>Heat Pump</v>
      </c>
      <c r="AK48" s="666" t="str">
        <f>INDEX('HVAC Types'!D$2:D$86,MATCH($AH48,'HVAC Types'!$A$2:$A$86,0))</f>
        <v>Geothermal Heat Pump Open Loop - GHP202</v>
      </c>
      <c r="AL48" s="8"/>
      <c r="AM48" s="8"/>
      <c r="AN48" s="65" t="s">
        <v>585</v>
      </c>
      <c r="AP48" s="19">
        <v>20</v>
      </c>
      <c r="AQ48" s="19"/>
      <c r="AR48" s="19">
        <v>4.2</v>
      </c>
      <c r="AS48" s="20">
        <v>2000</v>
      </c>
      <c r="AT48" s="18" t="s">
        <v>30</v>
      </c>
      <c r="AU48" s="19">
        <v>9.5</v>
      </c>
      <c r="AV48" s="19" t="s">
        <v>30</v>
      </c>
      <c r="AW48" s="40" t="s">
        <v>30</v>
      </c>
      <c r="BT48" s="546" t="s">
        <v>1465</v>
      </c>
      <c r="BU48" s="293"/>
      <c r="BV48"/>
      <c r="BW48"/>
      <c r="BX48"/>
      <c r="BY48"/>
      <c r="BZ48"/>
      <c r="CA48"/>
      <c r="CB48"/>
      <c r="CC48"/>
      <c r="CD48" t="s">
        <v>1522</v>
      </c>
      <c r="CE48"/>
      <c r="CF48"/>
      <c r="CG48"/>
      <c r="CH48" s="601"/>
      <c r="CI48"/>
    </row>
    <row r="49" spans="1:87" ht="14.5" x14ac:dyDescent="0.35">
      <c r="A49" s="2"/>
      <c r="B49" s="611">
        <v>3.4119999999999999</v>
      </c>
      <c r="C49" s="2"/>
      <c r="D49" s="34"/>
      <c r="E49" s="34"/>
      <c r="F49" s="8" t="s">
        <v>264</v>
      </c>
      <c r="G49" s="33"/>
      <c r="H49" s="33"/>
      <c r="I49" s="33"/>
      <c r="AG49" s="34" t="s">
        <v>575</v>
      </c>
      <c r="AH49" s="38" t="s">
        <v>553</v>
      </c>
      <c r="AI49" s="666" t="str">
        <f>INDEX('HVAC Types'!B$2:B$86,MATCH($AH49,'HVAC Types'!$A$2:$A$86,0))</f>
        <v>Cooling - HVAC Equipment</v>
      </c>
      <c r="AJ49" s="666" t="str">
        <f>INDEX('HVAC Types'!C$2:C$86,MATCH($AH49,'HVAC Types'!$A$2:$A$86,0))</f>
        <v>Heat Pump</v>
      </c>
      <c r="AK49" s="666" t="str">
        <f>INDEX('HVAC Types'!D$2:D$86,MATCH($AH49,'HVAC Types'!$A$2:$A$86,0))</f>
        <v>ACR Geothermal Heat Pump Direct Geoexchange - GHP300</v>
      </c>
      <c r="AL49" s="8"/>
      <c r="AM49" s="8"/>
      <c r="AN49" s="65" t="s">
        <v>582</v>
      </c>
      <c r="AO49" s="18"/>
      <c r="AP49" s="19">
        <v>20</v>
      </c>
      <c r="AQ49" s="19"/>
      <c r="AR49" s="19">
        <v>4.2</v>
      </c>
      <c r="AS49" s="20">
        <v>2000</v>
      </c>
      <c r="AT49" s="18" t="s">
        <v>30</v>
      </c>
      <c r="AU49" s="19">
        <v>9.5</v>
      </c>
      <c r="AV49" s="19" t="s">
        <v>30</v>
      </c>
      <c r="AW49" s="40" t="s">
        <v>30</v>
      </c>
      <c r="BT49" s="546" t="s">
        <v>1466</v>
      </c>
      <c r="BU49" s="293"/>
      <c r="BV49"/>
      <c r="BW49"/>
      <c r="BX49"/>
      <c r="BY49"/>
      <c r="BZ49"/>
      <c r="CA49"/>
      <c r="CB49"/>
      <c r="CC49"/>
      <c r="CD49" t="s">
        <v>1523</v>
      </c>
      <c r="CE49"/>
      <c r="CF49"/>
      <c r="CG49"/>
      <c r="CH49" s="601"/>
      <c r="CI49"/>
    </row>
    <row r="50" spans="1:87" ht="14.5" x14ac:dyDescent="0.35">
      <c r="A50" s="2"/>
      <c r="B50" s="2"/>
      <c r="C50" s="2"/>
      <c r="D50" s="34"/>
      <c r="E50" s="34"/>
      <c r="F50" s="8" t="s">
        <v>265</v>
      </c>
      <c r="G50" s="33"/>
      <c r="H50" s="33"/>
      <c r="I50" s="33"/>
      <c r="AG50" s="34" t="s">
        <v>576</v>
      </c>
      <c r="AH50" s="38" t="s">
        <v>558</v>
      </c>
      <c r="AI50" s="666" t="str">
        <f>INDEX('HVAC Types'!B$2:B$86,MATCH($AH50,'HVAC Types'!$A$2:$A$86,0))</f>
        <v>Cooling - HVAC Equipment</v>
      </c>
      <c r="AJ50" s="666" t="str">
        <f>INDEX('HVAC Types'!C$2:C$86,MATCH($AH50,'HVAC Types'!$A$2:$A$86,0))</f>
        <v>Heat Pump</v>
      </c>
      <c r="AK50" s="666" t="str">
        <f>INDEX('HVAC Types'!D$2:D$86,MATCH($AH50,'HVAC Types'!$A$2:$A$86,0))</f>
        <v>Geothermal Heat Pump Direct Geoexchange - GHP301</v>
      </c>
      <c r="AL50" s="8"/>
      <c r="AM50" s="8"/>
      <c r="AN50" s="65" t="s">
        <v>632</v>
      </c>
      <c r="AP50" s="19">
        <v>20</v>
      </c>
      <c r="AQ50" s="19"/>
      <c r="AR50" s="19">
        <v>4.2</v>
      </c>
      <c r="AS50" s="20">
        <v>2000</v>
      </c>
      <c r="AT50" s="18" t="s">
        <v>30</v>
      </c>
      <c r="AU50" s="19">
        <v>9.5</v>
      </c>
      <c r="AV50" s="19" t="s">
        <v>30</v>
      </c>
      <c r="AW50" s="40" t="s">
        <v>30</v>
      </c>
      <c r="BT50" s="546" t="s">
        <v>1474</v>
      </c>
      <c r="BU50" s="293"/>
      <c r="BV50"/>
      <c r="BW50"/>
      <c r="BX50"/>
      <c r="BY50"/>
      <c r="BZ50"/>
      <c r="CA50"/>
      <c r="CB50"/>
      <c r="CC50"/>
      <c r="CD50"/>
      <c r="CE50"/>
      <c r="CF50"/>
      <c r="CG50"/>
      <c r="CH50" s="601"/>
      <c r="CI50"/>
    </row>
    <row r="51" spans="1:87" ht="14.5" x14ac:dyDescent="0.35">
      <c r="A51" s="2"/>
      <c r="B51" s="2"/>
      <c r="C51" s="2"/>
      <c r="D51" s="34"/>
      <c r="E51" s="34"/>
      <c r="F51" s="8" t="s">
        <v>266</v>
      </c>
      <c r="G51" s="33"/>
      <c r="H51" s="33"/>
      <c r="I51" s="33"/>
      <c r="AG51" s="34" t="s">
        <v>577</v>
      </c>
      <c r="AH51" s="38" t="s">
        <v>559</v>
      </c>
      <c r="AI51" s="666" t="str">
        <f>INDEX('HVAC Types'!B$2:B$86,MATCH($AH51,'HVAC Types'!$A$2:$A$86,0))</f>
        <v>Cooling - HVAC Equipment</v>
      </c>
      <c r="AJ51" s="666" t="str">
        <f>INDEX('HVAC Types'!C$2:C$86,MATCH($AH51,'HVAC Types'!$A$2:$A$86,0))</f>
        <v>Heat Pump</v>
      </c>
      <c r="AK51" s="666" t="str">
        <f>INDEX('HVAC Types'!D$2:D$86,MATCH($AH51,'HVAC Types'!$A$2:$A$86,0))</f>
        <v>Geothermal Heat Pump Direct Geoexchange - GHP302</v>
      </c>
      <c r="AL51" s="8"/>
      <c r="AM51" s="8"/>
      <c r="AN51" s="65" t="s">
        <v>628</v>
      </c>
      <c r="AO51" s="18"/>
      <c r="AP51" s="19">
        <v>17</v>
      </c>
      <c r="AQ51" s="19"/>
      <c r="AR51" s="19">
        <v>3.5</v>
      </c>
      <c r="AS51" s="20">
        <v>2000</v>
      </c>
      <c r="AT51" s="18" t="s">
        <v>30</v>
      </c>
      <c r="AU51" s="19">
        <v>9.5</v>
      </c>
      <c r="AV51" s="19" t="s">
        <v>30</v>
      </c>
      <c r="AW51" s="40" t="s">
        <v>30</v>
      </c>
      <c r="BT51" s="546" t="s">
        <v>1483</v>
      </c>
      <c r="BU51" s="293"/>
      <c r="BV51"/>
      <c r="BW51" t="s">
        <v>1524</v>
      </c>
      <c r="BX51"/>
      <c r="BY51"/>
      <c r="BZ51"/>
      <c r="CA51"/>
      <c r="CB51"/>
      <c r="CC51"/>
      <c r="CD51"/>
      <c r="CE51"/>
      <c r="CF51"/>
      <c r="CG51"/>
      <c r="CH51" s="601"/>
      <c r="CI51"/>
    </row>
    <row r="52" spans="1:87" ht="14.5" x14ac:dyDescent="0.35">
      <c r="A52" s="2"/>
      <c r="B52" s="2"/>
      <c r="C52" s="2"/>
      <c r="D52" s="34"/>
      <c r="E52" s="34"/>
      <c r="F52" s="8" t="s">
        <v>267</v>
      </c>
      <c r="G52" s="33"/>
      <c r="H52" s="33"/>
      <c r="I52" s="33"/>
      <c r="AG52" s="34" t="s">
        <v>566</v>
      </c>
      <c r="AH52" s="38" t="s">
        <v>516</v>
      </c>
      <c r="AI52" s="666" t="str">
        <f>INDEX('HVAC Types'!B$2:B$86,MATCH($AH52,'HVAC Types'!$A$2:$A$86,0))</f>
        <v>Cooling - HVAC Equipment</v>
      </c>
      <c r="AJ52" s="666" t="str">
        <f>INDEX('HVAC Types'!C$2:C$86,MATCH($AH52,'HVAC Types'!$A$2:$A$86,0))</f>
        <v>Heat Pump</v>
      </c>
      <c r="AK52" s="666" t="str">
        <f>INDEX('HVAC Types'!D$2:D$86,MATCH($AH52,'HVAC Types'!$A$2:$A$86,0))</f>
        <v>ACR Ductless Mini-Split Heat Pump - HP100</v>
      </c>
      <c r="AL52" s="8"/>
      <c r="AM52" s="8"/>
      <c r="AN52" s="65" t="s">
        <v>586</v>
      </c>
      <c r="AP52" s="19">
        <v>17</v>
      </c>
      <c r="AQ52" s="19"/>
      <c r="AR52" s="19">
        <v>3.5</v>
      </c>
      <c r="AS52" s="20">
        <v>2000</v>
      </c>
      <c r="AT52" s="18" t="s">
        <v>30</v>
      </c>
      <c r="AU52" s="19">
        <v>9.5</v>
      </c>
      <c r="AV52" s="19" t="s">
        <v>30</v>
      </c>
      <c r="AW52" s="40" t="s">
        <v>30</v>
      </c>
      <c r="BT52" s="546" t="s">
        <v>1489</v>
      </c>
      <c r="BU52" s="293"/>
      <c r="BV52"/>
      <c r="BW52" s="547" t="s">
        <v>1292</v>
      </c>
      <c r="BX52" s="547" t="s">
        <v>1446</v>
      </c>
      <c r="BY52" s="547" t="s">
        <v>1447</v>
      </c>
      <c r="BZ52" s="547" t="s">
        <v>1449</v>
      </c>
      <c r="CA52" s="547" t="s">
        <v>1450</v>
      </c>
      <c r="CB52" s="547" t="s">
        <v>1452</v>
      </c>
      <c r="CC52" s="547" t="s">
        <v>1454</v>
      </c>
      <c r="CD52" s="547" t="s">
        <v>1416</v>
      </c>
      <c r="CE52" s="547" t="s">
        <v>1457</v>
      </c>
      <c r="CF52" s="547" t="s">
        <v>1458</v>
      </c>
      <c r="CG52" s="547" t="s">
        <v>1459</v>
      </c>
      <c r="CH52" s="600" t="s">
        <v>1710</v>
      </c>
      <c r="CI52"/>
    </row>
    <row r="53" spans="1:87" ht="14.5" x14ac:dyDescent="0.35">
      <c r="A53" s="2"/>
      <c r="B53" s="547" t="s">
        <v>1920</v>
      </c>
      <c r="C53" s="2"/>
      <c r="D53" s="34"/>
      <c r="E53" s="34"/>
      <c r="F53" s="8" t="s">
        <v>268</v>
      </c>
      <c r="G53" s="33"/>
      <c r="H53" s="33"/>
      <c r="I53" s="33"/>
      <c r="AG53" s="34" t="s">
        <v>567</v>
      </c>
      <c r="AH53" s="38" t="s">
        <v>413</v>
      </c>
      <c r="AI53" s="666" t="str">
        <f>INDEX('HVAC Types'!B$2:B$86,MATCH($AH53,'HVAC Types'!$A$2:$A$86,0))</f>
        <v>Cooling - HVAC Equipment</v>
      </c>
      <c r="AJ53" s="666" t="str">
        <f>INDEX('HVAC Types'!C$2:C$86,MATCH($AH53,'HVAC Types'!$A$2:$A$86,0))</f>
        <v>Heat Pump</v>
      </c>
      <c r="AK53" s="666" t="str">
        <f>INDEX('HVAC Types'!D$2:D$86,MATCH($AH53,'HVAC Types'!$A$2:$A$86,0))</f>
        <v>ACR Ductless Mini-Split Heat Pump - HP101</v>
      </c>
      <c r="AL53" s="8"/>
      <c r="AM53" s="8"/>
      <c r="AN53" s="65" t="s">
        <v>583</v>
      </c>
      <c r="AO53" s="18"/>
      <c r="AP53" s="19">
        <v>17</v>
      </c>
      <c r="AQ53" s="19"/>
      <c r="AR53" s="19">
        <v>3.5</v>
      </c>
      <c r="AS53" s="20">
        <v>2000</v>
      </c>
      <c r="AT53" s="18" t="s">
        <v>30</v>
      </c>
      <c r="AU53" s="19">
        <v>9.5</v>
      </c>
      <c r="AV53" s="19" t="s">
        <v>30</v>
      </c>
      <c r="AW53" s="40" t="s">
        <v>30</v>
      </c>
      <c r="BT53" s="546" t="s">
        <v>1467</v>
      </c>
      <c r="BU53" s="293" t="s">
        <v>1525</v>
      </c>
      <c r="BV53"/>
      <c r="BW53" t="s">
        <v>1526</v>
      </c>
      <c r="BX53" t="s">
        <v>1527</v>
      </c>
      <c r="BY53" t="s">
        <v>1528</v>
      </c>
      <c r="BZ53" t="s">
        <v>1529</v>
      </c>
      <c r="CA53" t="s">
        <v>1530</v>
      </c>
      <c r="CB53" t="s">
        <v>1531</v>
      </c>
      <c r="CC53" t="s">
        <v>1532</v>
      </c>
      <c r="CD53" t="s">
        <v>1533</v>
      </c>
      <c r="CE53" t="s">
        <v>1534</v>
      </c>
      <c r="CF53" t="s">
        <v>1535</v>
      </c>
      <c r="CG53" t="s">
        <v>1536</v>
      </c>
      <c r="CH53" s="601" t="s">
        <v>1712</v>
      </c>
      <c r="CI53"/>
    </row>
    <row r="54" spans="1:87" ht="14.5" x14ac:dyDescent="0.35">
      <c r="A54" s="2"/>
      <c r="B54" s="668" t="s">
        <v>1921</v>
      </c>
      <c r="C54" s="2"/>
      <c r="D54" s="34"/>
      <c r="E54" s="34"/>
      <c r="F54" s="8" t="s">
        <v>269</v>
      </c>
      <c r="G54" s="33"/>
      <c r="H54" s="33"/>
      <c r="I54" s="33"/>
      <c r="AG54" s="34" t="s">
        <v>568</v>
      </c>
      <c r="AH54" s="38" t="s">
        <v>414</v>
      </c>
      <c r="AI54" s="666" t="str">
        <f>INDEX('HVAC Types'!B$2:B$86,MATCH($AH54,'HVAC Types'!$A$2:$A$86,0))</f>
        <v>Cooling - HVAC Equipment</v>
      </c>
      <c r="AJ54" s="666" t="str">
        <f>INDEX('HVAC Types'!C$2:C$86,MATCH($AH54,'HVAC Types'!$A$2:$A$86,0))</f>
        <v>Heat Pump</v>
      </c>
      <c r="AK54" s="666" t="str">
        <f>INDEX('HVAC Types'!D$2:D$86,MATCH($AH54,'HVAC Types'!$A$2:$A$86,0))</f>
        <v>ACR Ductless Mini-Split Heat Pump - HP102</v>
      </c>
      <c r="AL54" s="8"/>
      <c r="AM54" s="8"/>
      <c r="AN54" s="65" t="s">
        <v>627</v>
      </c>
      <c r="AP54" s="19">
        <v>17</v>
      </c>
      <c r="AQ54" s="19"/>
      <c r="AR54" s="19">
        <v>3.5</v>
      </c>
      <c r="AS54" s="20">
        <v>2000</v>
      </c>
      <c r="AT54" s="18" t="s">
        <v>30</v>
      </c>
      <c r="AU54" s="19">
        <v>9.5</v>
      </c>
      <c r="AV54" s="19" t="s">
        <v>30</v>
      </c>
      <c r="AW54" s="40" t="s">
        <v>30</v>
      </c>
      <c r="BT54" s="546" t="s">
        <v>1475</v>
      </c>
      <c r="BU54" s="293" t="s">
        <v>1525</v>
      </c>
      <c r="BV54"/>
      <c r="BW54"/>
      <c r="BX54"/>
      <c r="BY54"/>
      <c r="BZ54" t="s">
        <v>1537</v>
      </c>
      <c r="CA54">
        <v>8202011300</v>
      </c>
      <c r="CB54"/>
      <c r="CC54"/>
      <c r="CD54" t="s">
        <v>1538</v>
      </c>
      <c r="CE54" t="s">
        <v>1539</v>
      </c>
      <c r="CF54"/>
      <c r="CG54" t="s">
        <v>1540</v>
      </c>
      <c r="CH54"/>
      <c r="CI54"/>
    </row>
    <row r="55" spans="1:87" ht="14.5" x14ac:dyDescent="0.35">
      <c r="A55" s="2"/>
      <c r="B55" s="668" t="s">
        <v>1922</v>
      </c>
      <c r="C55" s="2"/>
      <c r="D55" s="34"/>
      <c r="E55" s="34"/>
      <c r="F55" s="8" t="s">
        <v>270</v>
      </c>
      <c r="G55" s="33"/>
      <c r="H55" s="33"/>
      <c r="I55" s="33"/>
      <c r="L55" s="646" t="s">
        <v>1830</v>
      </c>
      <c r="M55" s="647" t="s">
        <v>1821</v>
      </c>
      <c r="N55" s="647" t="s">
        <v>1831</v>
      </c>
      <c r="O55" s="647" t="s">
        <v>1832</v>
      </c>
      <c r="P55" s="647" t="s">
        <v>1833</v>
      </c>
      <c r="Q55" s="647" t="s">
        <v>1834</v>
      </c>
      <c r="R55" s="647" t="s">
        <v>1835</v>
      </c>
      <c r="S55" s="648" t="s">
        <v>1836</v>
      </c>
      <c r="AG55" s="34" t="s">
        <v>473</v>
      </c>
      <c r="AH55" s="38" t="s">
        <v>517</v>
      </c>
      <c r="AI55" s="666" t="str">
        <f>INDEX('HVAC Types'!B$2:B$86,MATCH($AH55,'HVAC Types'!$A$2:$A$86,0))</f>
        <v>Cooling - HVAC Equipment</v>
      </c>
      <c r="AJ55" s="666" t="str">
        <f>INDEX('HVAC Types'!C$2:C$86,MATCH($AH55,'HVAC Types'!$A$2:$A$86,0))</f>
        <v>Heat Pump</v>
      </c>
      <c r="AK55" s="666" t="str">
        <f>INDEX('HVAC Types'!D$2:D$86,MATCH($AH55,'HVAC Types'!$A$2:$A$86,0))</f>
        <v>ACR Air Cooled Heat Pump Split - HP211</v>
      </c>
      <c r="AL55" s="8"/>
      <c r="AM55" s="8"/>
      <c r="AN55" s="326"/>
      <c r="AO55" s="324"/>
      <c r="AP55" s="325"/>
      <c r="AQ55" s="325"/>
      <c r="AR55" s="325"/>
      <c r="AS55" s="318"/>
      <c r="AT55" s="324"/>
      <c r="AU55" s="325"/>
      <c r="AV55" s="325"/>
      <c r="AW55" s="327"/>
      <c r="BT55" s="546" t="s">
        <v>1484</v>
      </c>
      <c r="BU55" s="293" t="s">
        <v>1525</v>
      </c>
      <c r="BV55"/>
      <c r="BW55"/>
      <c r="BX55"/>
      <c r="BY55"/>
      <c r="BZ55" t="s">
        <v>1542</v>
      </c>
      <c r="CA55" t="s">
        <v>1543</v>
      </c>
      <c r="CB55"/>
      <c r="CC55"/>
      <c r="CD55" t="s">
        <v>1544</v>
      </c>
      <c r="CE55" t="s">
        <v>1545</v>
      </c>
      <c r="CF55"/>
      <c r="CG55" t="s">
        <v>1546</v>
      </c>
      <c r="CH55"/>
      <c r="CI55"/>
    </row>
    <row r="56" spans="1:87" ht="14.5" x14ac:dyDescent="0.35">
      <c r="A56" s="2"/>
      <c r="B56" s="668" t="s">
        <v>1923</v>
      </c>
      <c r="C56" s="2"/>
      <c r="D56" s="34"/>
      <c r="E56" s="34"/>
      <c r="F56" s="8" t="s">
        <v>271</v>
      </c>
      <c r="G56" s="33"/>
      <c r="H56" s="33"/>
      <c r="I56" s="33"/>
      <c r="L56" s="644" t="s">
        <v>1823</v>
      </c>
      <c r="M56" s="67" t="s">
        <v>1824</v>
      </c>
      <c r="N56" s="67">
        <v>0.91900000000000004</v>
      </c>
      <c r="O56" s="67">
        <v>0.73799999999999999</v>
      </c>
      <c r="P56" s="67">
        <v>4.6100000000000003</v>
      </c>
      <c r="Q56" s="67">
        <v>0.66300000000000003</v>
      </c>
      <c r="R56" s="67">
        <v>0.97799999999999998</v>
      </c>
      <c r="S56" s="66">
        <v>0.999</v>
      </c>
      <c r="AG56" s="34" t="s">
        <v>480</v>
      </c>
      <c r="AH56" s="38" t="s">
        <v>525</v>
      </c>
      <c r="AI56" s="666" t="str">
        <f>INDEX('HVAC Types'!B$2:B$86,MATCH($AH56,'HVAC Types'!$A$2:$A$86,0))</f>
        <v>Cooling - HVAC Equipment</v>
      </c>
      <c r="AJ56" s="666" t="str">
        <f>INDEX('HVAC Types'!C$2:C$86,MATCH($AH56,'HVAC Types'!$A$2:$A$86,0))</f>
        <v>Heat Pump</v>
      </c>
      <c r="AK56" s="666" t="str">
        <f>INDEX('HVAC Types'!D$2:D$86,MATCH($AH56,'HVAC Types'!$A$2:$A$86,0))</f>
        <v>ACR Air Cooled Heat Pump Split - HP212</v>
      </c>
      <c r="AL56" s="8"/>
      <c r="AM56" s="8"/>
      <c r="AN56" s="326"/>
      <c r="AO56" s="324"/>
      <c r="AP56" s="325"/>
      <c r="AQ56" s="325"/>
      <c r="AR56" s="325"/>
      <c r="AS56" s="327"/>
      <c r="AT56" s="324"/>
      <c r="AU56" s="325"/>
      <c r="AV56" s="325"/>
      <c r="AW56" s="327"/>
      <c r="BT56" s="546" t="s">
        <v>1468</v>
      </c>
      <c r="BU56" s="293" t="s">
        <v>1541</v>
      </c>
      <c r="BV56"/>
      <c r="BW56"/>
      <c r="BX56"/>
      <c r="BY56"/>
      <c r="BZ56" t="s">
        <v>1547</v>
      </c>
      <c r="CA56"/>
      <c r="CB56"/>
      <c r="CC56"/>
      <c r="CD56" t="s">
        <v>1548</v>
      </c>
      <c r="CE56" t="s">
        <v>1549</v>
      </c>
      <c r="CF56"/>
      <c r="CG56"/>
      <c r="CH56"/>
      <c r="CI56"/>
    </row>
    <row r="57" spans="1:87" ht="14.5" x14ac:dyDescent="0.35">
      <c r="A57" s="2"/>
      <c r="B57" s="668" t="s">
        <v>1925</v>
      </c>
      <c r="C57" s="2"/>
      <c r="D57" s="34"/>
      <c r="E57" s="34"/>
      <c r="F57" s="8" t="s">
        <v>272</v>
      </c>
      <c r="G57" s="33"/>
      <c r="H57" s="33"/>
      <c r="I57" s="33"/>
      <c r="L57" s="644" t="s">
        <v>1956</v>
      </c>
      <c r="M57" s="67" t="s">
        <v>1825</v>
      </c>
      <c r="N57" s="67">
        <v>0.88800000000000001</v>
      </c>
      <c r="O57" s="67">
        <v>0.75</v>
      </c>
      <c r="P57" s="67">
        <v>4.6100000000000003</v>
      </c>
      <c r="Q57" s="67">
        <v>0.66300000000000003</v>
      </c>
      <c r="R57" s="67">
        <v>0.97799999999999998</v>
      </c>
      <c r="S57" s="66">
        <v>0.997</v>
      </c>
      <c r="AG57" s="34" t="s">
        <v>474</v>
      </c>
      <c r="AH57" s="38" t="s">
        <v>518</v>
      </c>
      <c r="AI57" s="666" t="str">
        <f>INDEX('HVAC Types'!B$2:B$86,MATCH($AH57,'HVAC Types'!$A$2:$A$86,0))</f>
        <v>Cooling - HVAC Equipment</v>
      </c>
      <c r="AJ57" s="666" t="str">
        <f>INDEX('HVAC Types'!C$2:C$86,MATCH($AH57,'HVAC Types'!$A$2:$A$86,0))</f>
        <v>Heat Pump</v>
      </c>
      <c r="AK57" s="666" t="str">
        <f>INDEX('HVAC Types'!D$2:D$86,MATCH($AH57,'HVAC Types'!$A$2:$A$86,0))</f>
        <v>ACR Air Cooled Heat Pump Packaged - HP221</v>
      </c>
      <c r="AL57" s="8"/>
      <c r="AM57" s="8"/>
      <c r="AN57" s="326"/>
      <c r="AO57" s="324"/>
      <c r="AP57" s="325"/>
      <c r="AQ57" s="325"/>
      <c r="AR57" s="325"/>
      <c r="AS57" s="327"/>
      <c r="AT57" s="324"/>
      <c r="AU57" s="325"/>
      <c r="AV57" s="325"/>
      <c r="AW57" s="327"/>
      <c r="BT57" s="546" t="s">
        <v>1476</v>
      </c>
      <c r="BU57" s="293" t="s">
        <v>1541</v>
      </c>
      <c r="BV57"/>
      <c r="BW57"/>
      <c r="BX57"/>
      <c r="BY57"/>
      <c r="BZ57" t="s">
        <v>1550</v>
      </c>
      <c r="CA57"/>
      <c r="CB57"/>
      <c r="CC57"/>
      <c r="CD57"/>
      <c r="CE57" t="s">
        <v>1551</v>
      </c>
      <c r="CF57"/>
      <c r="CG57"/>
      <c r="CH57"/>
      <c r="CI57"/>
    </row>
    <row r="58" spans="1:87" ht="14.5" x14ac:dyDescent="0.35">
      <c r="A58" s="2"/>
      <c r="B58" s="668" t="s">
        <v>1924</v>
      </c>
      <c r="C58" s="2"/>
      <c r="D58" s="34"/>
      <c r="E58" s="34"/>
      <c r="F58" s="8" t="s">
        <v>273</v>
      </c>
      <c r="G58" s="33"/>
      <c r="H58" s="33"/>
      <c r="I58" s="33"/>
      <c r="L58" s="644" t="s">
        <v>1955</v>
      </c>
      <c r="M58" s="67" t="s">
        <v>1826</v>
      </c>
      <c r="N58" s="67">
        <v>0.94499999999999995</v>
      </c>
      <c r="O58" s="67">
        <v>0.74099999999999999</v>
      </c>
      <c r="P58" s="67">
        <v>4.6100000000000003</v>
      </c>
      <c r="Q58" s="67">
        <v>0.66300000000000003</v>
      </c>
      <c r="R58" s="67">
        <v>0.97799999999999998</v>
      </c>
      <c r="S58" s="66">
        <v>0.98</v>
      </c>
      <c r="AG58" s="34" t="s">
        <v>481</v>
      </c>
      <c r="AH58" s="38" t="s">
        <v>526</v>
      </c>
      <c r="AI58" s="666" t="str">
        <f>INDEX('HVAC Types'!B$2:B$86,MATCH($AH58,'HVAC Types'!$A$2:$A$86,0))</f>
        <v>Cooling - HVAC Equipment</v>
      </c>
      <c r="AJ58" s="666" t="str">
        <f>INDEX('HVAC Types'!C$2:C$86,MATCH($AH58,'HVAC Types'!$A$2:$A$86,0))</f>
        <v>Heat Pump</v>
      </c>
      <c r="AK58" s="666" t="str">
        <f>INDEX('HVAC Types'!D$2:D$86,MATCH($AH58,'HVAC Types'!$A$2:$A$86,0))</f>
        <v>ACR Air Cooled Heat Pump Packaged - HP222</v>
      </c>
      <c r="AL58" s="8"/>
      <c r="AM58" s="8"/>
      <c r="AN58" s="326"/>
      <c r="AO58" s="324"/>
      <c r="AP58" s="325"/>
      <c r="AQ58" s="325"/>
      <c r="AR58" s="325"/>
      <c r="AS58" s="327"/>
      <c r="AT58" s="324"/>
      <c r="AU58" s="325"/>
      <c r="AV58" s="325"/>
      <c r="AW58" s="327"/>
      <c r="BT58" s="546" t="s">
        <v>1485</v>
      </c>
      <c r="BU58" s="293" t="s">
        <v>1525</v>
      </c>
      <c r="BV58"/>
      <c r="BW58"/>
      <c r="BX58"/>
      <c r="BY58"/>
      <c r="BZ58"/>
      <c r="CA58"/>
      <c r="CB58"/>
      <c r="CC58"/>
      <c r="CD58"/>
      <c r="CE58"/>
      <c r="CF58"/>
      <c r="CG58"/>
      <c r="CH58"/>
      <c r="CI58"/>
    </row>
    <row r="59" spans="1:87" ht="14.5" x14ac:dyDescent="0.35">
      <c r="A59" s="2"/>
      <c r="C59" s="2"/>
      <c r="D59" s="34"/>
      <c r="E59" s="34"/>
      <c r="F59" s="8" t="s">
        <v>274</v>
      </c>
      <c r="G59" s="33"/>
      <c r="H59" s="33"/>
      <c r="I59" s="33"/>
      <c r="L59" s="644" t="s">
        <v>1840</v>
      </c>
      <c r="M59" s="67" t="s">
        <v>1827</v>
      </c>
      <c r="N59" s="67">
        <v>0.84399999999999997</v>
      </c>
      <c r="O59" s="67">
        <v>0.752</v>
      </c>
      <c r="P59" s="67">
        <v>3.87</v>
      </c>
      <c r="Q59" s="67">
        <v>0.71199999999999997</v>
      </c>
      <c r="R59" s="67">
        <v>0.98799999999999999</v>
      </c>
      <c r="S59" s="66">
        <v>1</v>
      </c>
      <c r="AG59" s="34" t="s">
        <v>540</v>
      </c>
      <c r="AH59" s="38" t="s">
        <v>519</v>
      </c>
      <c r="AI59" s="666" t="str">
        <f>INDEX('HVAC Types'!B$2:B$86,MATCH($AH59,'HVAC Types'!$A$2:$A$86,0))</f>
        <v>Cooling - HVAC Equipment</v>
      </c>
      <c r="AJ59" s="666" t="str">
        <f>INDEX('HVAC Types'!C$2:C$86,MATCH($AH59,'HVAC Types'!$A$2:$A$86,0))</f>
        <v>Heat Pump</v>
      </c>
      <c r="AK59" s="666" t="str">
        <f>INDEX('HVAC Types'!D$2:D$86,MATCH($AH59,'HVAC Types'!$A$2:$A$86,0))</f>
        <v>ACR Air Cooled Heat Pump Split - HP311</v>
      </c>
      <c r="AL59" s="8"/>
      <c r="AM59" s="8"/>
      <c r="AN59" s="326"/>
      <c r="AO59" s="324"/>
      <c r="AP59" s="325"/>
      <c r="AQ59" s="325"/>
      <c r="AR59" s="325"/>
      <c r="AS59" s="327"/>
      <c r="AT59" s="324"/>
      <c r="AU59" s="325"/>
      <c r="AV59" s="325"/>
      <c r="AW59" s="327"/>
      <c r="BT59" s="546" t="s">
        <v>1490</v>
      </c>
      <c r="BU59" s="293" t="s">
        <v>1525</v>
      </c>
      <c r="BV59"/>
      <c r="BW59"/>
      <c r="BX59"/>
      <c r="BY59"/>
      <c r="BZ59"/>
      <c r="CA59"/>
      <c r="CB59"/>
      <c r="CC59"/>
      <c r="CD59"/>
      <c r="CE59"/>
      <c r="CF59"/>
      <c r="CG59"/>
      <c r="CH59"/>
      <c r="CI59"/>
    </row>
    <row r="60" spans="1:87" ht="14.5" x14ac:dyDescent="0.35">
      <c r="A60" s="2"/>
      <c r="B60" s="2"/>
      <c r="C60" s="2"/>
      <c r="D60" s="34"/>
      <c r="E60" s="34"/>
      <c r="F60" s="8" t="s">
        <v>275</v>
      </c>
      <c r="G60" s="33"/>
      <c r="H60" s="33"/>
      <c r="I60" s="33"/>
      <c r="L60" s="644" t="s">
        <v>1842</v>
      </c>
      <c r="M60" s="67" t="s">
        <v>1827</v>
      </c>
      <c r="N60" s="67">
        <v>0.84399999999999997</v>
      </c>
      <c r="O60" s="67">
        <v>0.752</v>
      </c>
      <c r="P60" s="67">
        <v>3.87</v>
      </c>
      <c r="Q60" s="67">
        <v>0.71199999999999997</v>
      </c>
      <c r="R60" s="67">
        <v>0.98799999999999999</v>
      </c>
      <c r="S60" s="66">
        <v>1</v>
      </c>
      <c r="AG60" s="34" t="s">
        <v>541</v>
      </c>
      <c r="AH60" s="38" t="s">
        <v>520</v>
      </c>
      <c r="AI60" s="666" t="str">
        <f>INDEX('HVAC Types'!B$2:B$86,MATCH($AH60,'HVAC Types'!$A$2:$A$86,0))</f>
        <v>Cooling - HVAC Equipment</v>
      </c>
      <c r="AJ60" s="666" t="str">
        <f>INDEX('HVAC Types'!C$2:C$86,MATCH($AH60,'HVAC Types'!$A$2:$A$86,0))</f>
        <v>Heat Pump</v>
      </c>
      <c r="AK60" s="666" t="str">
        <f>INDEX('HVAC Types'!D$2:D$86,MATCH($AH60,'HVAC Types'!$A$2:$A$86,0))</f>
        <v>ACR Air Cooled Heat Pump Packaged - HP321</v>
      </c>
      <c r="AL60" s="8"/>
      <c r="AM60" s="8"/>
      <c r="AN60" s="296"/>
      <c r="AO60" s="211"/>
      <c r="AP60" s="297"/>
      <c r="AQ60" s="297"/>
      <c r="AR60" s="297"/>
      <c r="AS60" s="298"/>
      <c r="AT60" s="211"/>
      <c r="AU60" s="297"/>
      <c r="AV60" s="297"/>
      <c r="AW60" s="298"/>
      <c r="BT60" s="546" t="s">
        <v>1494</v>
      </c>
      <c r="BU60" s="293" t="s">
        <v>1525</v>
      </c>
      <c r="BV60"/>
      <c r="BW60"/>
      <c r="BX60"/>
      <c r="BY60"/>
      <c r="BZ60"/>
      <c r="CA60"/>
      <c r="CB60"/>
      <c r="CC60"/>
      <c r="CD60"/>
      <c r="CE60"/>
      <c r="CF60"/>
      <c r="CG60"/>
      <c r="CH60"/>
      <c r="CI60"/>
    </row>
    <row r="61" spans="1:87" ht="14.5" x14ac:dyDescent="0.35">
      <c r="A61" s="2"/>
      <c r="B61" s="547" t="s">
        <v>79</v>
      </c>
      <c r="C61" s="2"/>
      <c r="D61" s="34"/>
      <c r="E61" s="34"/>
      <c r="F61" s="8" t="s">
        <v>276</v>
      </c>
      <c r="G61" s="33"/>
      <c r="H61" s="33"/>
      <c r="I61" s="33"/>
      <c r="L61" s="644" t="s">
        <v>1822</v>
      </c>
      <c r="M61" s="67" t="s">
        <v>1828</v>
      </c>
      <c r="N61" s="67">
        <v>2.8260000000000001</v>
      </c>
      <c r="O61" s="67">
        <v>0.14299999999999999</v>
      </c>
      <c r="P61" s="67">
        <v>12.11</v>
      </c>
      <c r="Q61" s="67">
        <v>0.15</v>
      </c>
      <c r="R61" s="67">
        <v>0.97699999999999998</v>
      </c>
      <c r="S61" s="66">
        <v>0.98</v>
      </c>
      <c r="AG61" s="34" t="s">
        <v>475</v>
      </c>
      <c r="AH61" s="38" t="s">
        <v>521</v>
      </c>
      <c r="AI61" s="666" t="str">
        <f>INDEX('HVAC Types'!B$2:B$86,MATCH($AH61,'HVAC Types'!$A$2:$A$86,0))</f>
        <v>Cooling - HVAC Equipment</v>
      </c>
      <c r="AJ61" s="666" t="str">
        <f>INDEX('HVAC Types'!C$2:C$86,MATCH($AH61,'HVAC Types'!$A$2:$A$86,0))</f>
        <v>Heat Pump</v>
      </c>
      <c r="AK61" s="666" t="str">
        <f>INDEX('HVAC Types'!D$2:D$86,MATCH($AH61,'HVAC Types'!$A$2:$A$86,0))</f>
        <v>ACR Air Cooled Heat Pump Split - HP411</v>
      </c>
      <c r="AL61" s="8"/>
      <c r="AM61" s="8"/>
      <c r="AN61" s="8"/>
      <c r="AO61" s="8"/>
      <c r="AP61" s="8"/>
      <c r="AQ61" s="8"/>
      <c r="AR61" s="8"/>
      <c r="AS61" s="35" t="s">
        <v>35</v>
      </c>
      <c r="AT61" s="8"/>
      <c r="AU61" s="8"/>
      <c r="AV61" s="8"/>
      <c r="AW61" s="8"/>
      <c r="BT61" s="546" t="s">
        <v>1496</v>
      </c>
      <c r="BU61" s="293"/>
      <c r="BV61"/>
      <c r="BW61"/>
      <c r="BX61"/>
      <c r="BY61"/>
      <c r="BZ61"/>
      <c r="CA61"/>
      <c r="CB61"/>
      <c r="CC61"/>
      <c r="CD61"/>
      <c r="CE61"/>
      <c r="CF61"/>
      <c r="CG61"/>
      <c r="CH61"/>
      <c r="CI61"/>
    </row>
    <row r="62" spans="1:87" ht="14.5" x14ac:dyDescent="0.35">
      <c r="A62" s="2"/>
      <c r="B62" s="668" t="s">
        <v>1921</v>
      </c>
      <c r="C62" s="2"/>
      <c r="D62" s="34"/>
      <c r="E62" s="34"/>
      <c r="F62" s="8" t="s">
        <v>277</v>
      </c>
      <c r="G62" s="33"/>
      <c r="H62" s="33"/>
      <c r="I62" s="33"/>
      <c r="L62" s="644" t="s">
        <v>1839</v>
      </c>
      <c r="M62" s="67" t="s">
        <v>1829</v>
      </c>
      <c r="N62" s="67">
        <v>2.827</v>
      </c>
      <c r="O62" s="67">
        <v>0.14699999999999999</v>
      </c>
      <c r="P62" s="67">
        <v>12.09</v>
      </c>
      <c r="Q62" s="67">
        <v>0.16800000000000001</v>
      </c>
      <c r="R62" s="67">
        <v>0.98799999999999999</v>
      </c>
      <c r="S62" s="66">
        <v>0.98899999999999999</v>
      </c>
      <c r="AG62" s="34" t="s">
        <v>476</v>
      </c>
      <c r="AH62" s="38" t="s">
        <v>522</v>
      </c>
      <c r="AI62" s="666" t="str">
        <f>INDEX('HVAC Types'!B$2:B$86,MATCH($AH62,'HVAC Types'!$A$2:$A$86,0))</f>
        <v>Cooling - HVAC Equipment</v>
      </c>
      <c r="AJ62" s="666" t="str">
        <f>INDEX('HVAC Types'!C$2:C$86,MATCH($AH62,'HVAC Types'!$A$2:$A$86,0))</f>
        <v>Heat Pump</v>
      </c>
      <c r="AK62" s="666" t="str">
        <f>INDEX('HVAC Types'!D$2:D$86,MATCH($AH62,'HVAC Types'!$A$2:$A$86,0))</f>
        <v>ACR Air Cooled Heat Pump Packaged - HP421</v>
      </c>
      <c r="AL62" s="8"/>
      <c r="AM62" s="8"/>
      <c r="AN62" s="8"/>
      <c r="AO62" s="8"/>
      <c r="AP62" s="8"/>
      <c r="AQ62" s="8"/>
      <c r="AR62" s="8"/>
      <c r="AS62" s="8"/>
      <c r="AT62" s="8"/>
      <c r="AU62" s="8"/>
      <c r="AV62" s="8"/>
      <c r="AW62" s="8"/>
      <c r="BT62" s="546" t="s">
        <v>1498</v>
      </c>
      <c r="BU62" s="293"/>
      <c r="BV62"/>
      <c r="BW62"/>
      <c r="BX62"/>
      <c r="BY62"/>
      <c r="BZ62"/>
      <c r="CA62"/>
      <c r="CB62"/>
      <c r="CC62"/>
      <c r="CD62"/>
      <c r="CE62"/>
      <c r="CF62"/>
      <c r="CG62"/>
      <c r="CH62"/>
      <c r="CI62"/>
    </row>
    <row r="63" spans="1:87" ht="14.5" x14ac:dyDescent="0.35">
      <c r="A63" s="2"/>
      <c r="B63" s="668" t="s">
        <v>1926</v>
      </c>
      <c r="C63" s="2"/>
      <c r="D63" s="34"/>
      <c r="E63" s="34"/>
      <c r="F63" s="8" t="s">
        <v>278</v>
      </c>
      <c r="G63" s="33"/>
      <c r="H63" s="33"/>
      <c r="I63" s="33"/>
      <c r="L63" s="644" t="s">
        <v>1841</v>
      </c>
      <c r="M63" s="67" t="s">
        <v>1829</v>
      </c>
      <c r="N63" s="67">
        <v>2.827</v>
      </c>
      <c r="O63" s="67">
        <v>0.14699999999999999</v>
      </c>
      <c r="P63" s="67">
        <v>12.09</v>
      </c>
      <c r="Q63" s="67">
        <v>0.16800000000000001</v>
      </c>
      <c r="R63" s="67">
        <v>0.98799999999999999</v>
      </c>
      <c r="S63" s="66">
        <v>0.98899999999999999</v>
      </c>
      <c r="AG63" s="34" t="s">
        <v>477</v>
      </c>
      <c r="AH63" s="38" t="s">
        <v>523</v>
      </c>
      <c r="AI63" s="666" t="str">
        <f>INDEX('HVAC Types'!B$2:B$86,MATCH($AH63,'HVAC Types'!$A$2:$A$86,0))</f>
        <v>Cooling - HVAC Equipment</v>
      </c>
      <c r="AJ63" s="666" t="str">
        <f>INDEX('HVAC Types'!C$2:C$86,MATCH($AH63,'HVAC Types'!$A$2:$A$86,0))</f>
        <v>Heat Pump</v>
      </c>
      <c r="AK63" s="666" t="str">
        <f>INDEX('HVAC Types'!D$2:D$86,MATCH($AH63,'HVAC Types'!$A$2:$A$86,0))</f>
        <v>ACR Air Cooled Heat Pump Split - HP511</v>
      </c>
      <c r="AL63" s="8"/>
      <c r="AM63" s="8"/>
      <c r="AN63" s="8"/>
      <c r="AO63" s="8"/>
      <c r="AP63" s="8"/>
      <c r="AQ63" s="8"/>
      <c r="AR63" s="8"/>
      <c r="AS63" s="8"/>
      <c r="AT63" s="8"/>
      <c r="AU63" s="8"/>
      <c r="AV63" s="8"/>
      <c r="AW63" s="8"/>
      <c r="BT63" s="546" t="s">
        <v>1500</v>
      </c>
      <c r="BU63" s="293" t="s">
        <v>1541</v>
      </c>
      <c r="BV63"/>
      <c r="BW63"/>
      <c r="BX63"/>
      <c r="BY63"/>
      <c r="BZ63"/>
      <c r="CA63"/>
      <c r="CB63"/>
      <c r="CC63"/>
      <c r="CD63"/>
      <c r="CE63"/>
      <c r="CF63"/>
      <c r="CG63"/>
      <c r="CH63"/>
      <c r="CI63"/>
    </row>
    <row r="64" spans="1:87" ht="14.5" x14ac:dyDescent="0.35">
      <c r="A64" s="2"/>
      <c r="B64" s="668" t="s">
        <v>1927</v>
      </c>
      <c r="C64" s="2"/>
      <c r="D64" s="34"/>
      <c r="E64" s="34"/>
      <c r="F64" s="8" t="s">
        <v>279</v>
      </c>
      <c r="G64" s="33"/>
      <c r="H64" s="33"/>
      <c r="I64" s="33"/>
      <c r="L64" s="644" t="s">
        <v>1907</v>
      </c>
      <c r="M64" s="67" t="s">
        <v>1910</v>
      </c>
      <c r="N64" s="67">
        <v>-3.2410000000000001</v>
      </c>
      <c r="O64" s="67">
        <v>2.0099999999999998</v>
      </c>
      <c r="P64" s="67">
        <v>3.82</v>
      </c>
      <c r="Q64" s="67">
        <v>0.57399999999999995</v>
      </c>
      <c r="R64" s="67">
        <v>0.97799999999999998</v>
      </c>
      <c r="S64" s="66">
        <v>0.96299999999999997</v>
      </c>
      <c r="AG64" s="34" t="s">
        <v>478</v>
      </c>
      <c r="AH64" s="38" t="s">
        <v>524</v>
      </c>
      <c r="AI64" s="666" t="str">
        <f>INDEX('HVAC Types'!B$2:B$86,MATCH($AH64,'HVAC Types'!$A$2:$A$86,0))</f>
        <v>Cooling - HVAC Equipment</v>
      </c>
      <c r="AJ64" s="666" t="str">
        <f>INDEX('HVAC Types'!C$2:C$86,MATCH($AH64,'HVAC Types'!$A$2:$A$86,0))</f>
        <v>Heat Pump</v>
      </c>
      <c r="AK64" s="666" t="str">
        <f>INDEX('HVAC Types'!D$2:D$86,MATCH($AH64,'HVAC Types'!$A$2:$A$86,0))</f>
        <v>ACR Air Cooled Heat Pump Packaged - HP521</v>
      </c>
      <c r="AL64" s="8"/>
      <c r="AM64" s="8"/>
      <c r="AN64" s="8"/>
      <c r="AO64" s="8"/>
      <c r="AP64" s="8"/>
      <c r="AQ64" s="8"/>
      <c r="AR64" s="8"/>
      <c r="AS64" s="8"/>
      <c r="AT64" s="8"/>
      <c r="AU64" s="8"/>
      <c r="AV64" s="8"/>
      <c r="AW64" s="8"/>
      <c r="BT64" s="546" t="s">
        <v>1469</v>
      </c>
      <c r="BU64" s="293"/>
      <c r="BV64"/>
      <c r="BW64"/>
      <c r="BX64"/>
      <c r="BY64"/>
      <c r="BZ64"/>
      <c r="CA64"/>
      <c r="CB64"/>
      <c r="CC64"/>
      <c r="CD64"/>
      <c r="CE64"/>
      <c r="CF64"/>
      <c r="CG64"/>
      <c r="CH64"/>
      <c r="CI64"/>
    </row>
    <row r="65" spans="2:87" ht="14.5" x14ac:dyDescent="0.35">
      <c r="B65" s="269" t="s">
        <v>1928</v>
      </c>
      <c r="D65" s="34"/>
      <c r="E65" s="34"/>
      <c r="F65" s="8" t="s">
        <v>280</v>
      </c>
      <c r="G65" s="33"/>
      <c r="H65" s="33"/>
      <c r="I65" s="33"/>
      <c r="L65" s="644" t="s">
        <v>1908</v>
      </c>
      <c r="M65" s="67" t="s">
        <v>1911</v>
      </c>
      <c r="N65" s="67">
        <v>-3.3109999999999999</v>
      </c>
      <c r="O65" s="67">
        <v>2.0249999999999999</v>
      </c>
      <c r="P65" s="67">
        <v>7.53</v>
      </c>
      <c r="Q65" s="67">
        <v>0.371</v>
      </c>
      <c r="R65" s="67">
        <v>0.98799999999999999</v>
      </c>
      <c r="S65" s="66">
        <v>0.97699999999999998</v>
      </c>
      <c r="AG65" s="34" t="s">
        <v>1697</v>
      </c>
      <c r="AH65" s="38" t="s">
        <v>422</v>
      </c>
      <c r="AI65" s="666" t="str">
        <f>INDEX('HVAC Types'!B$2:B$86,MATCH($AH65,'HVAC Types'!$A$2:$A$86,0))</f>
        <v>Cooling - HVAC Equipment</v>
      </c>
      <c r="AJ65" s="666" t="str">
        <f>INDEX('HVAC Types'!C$2:C$86,MATCH($AH65,'HVAC Types'!$A$2:$A$86,0))</f>
        <v>Heat Pump</v>
      </c>
      <c r="AK65" s="666" t="str">
        <f>INDEX('HVAC Types'!D$2:D$86,MATCH($AH65,'HVAC Types'!$A$2:$A$86,0))</f>
        <v>ACR Water Source Heat Pump - HP601</v>
      </c>
      <c r="BT65" s="546" t="s">
        <v>1477</v>
      </c>
      <c r="BU65" s="293"/>
      <c r="BV65"/>
      <c r="BW65"/>
      <c r="BX65"/>
      <c r="BY65"/>
      <c r="BZ65"/>
      <c r="CA65"/>
      <c r="CB65"/>
      <c r="CC65"/>
      <c r="CD65"/>
      <c r="CE65"/>
      <c r="CF65"/>
      <c r="CG65"/>
      <c r="CH65"/>
      <c r="CI65"/>
    </row>
    <row r="66" spans="2:87" ht="14.5" x14ac:dyDescent="0.35">
      <c r="B66" s="269" t="s">
        <v>1791</v>
      </c>
      <c r="D66" s="34"/>
      <c r="E66" s="34"/>
      <c r="F66" s="8" t="s">
        <v>17</v>
      </c>
      <c r="G66" s="33"/>
      <c r="H66" s="33"/>
      <c r="I66" s="33"/>
      <c r="L66" s="215" t="s">
        <v>1909</v>
      </c>
      <c r="M66" s="310" t="s">
        <v>1911</v>
      </c>
      <c r="N66" s="310">
        <v>-3.3109999999999999</v>
      </c>
      <c r="O66" s="310">
        <v>2.0249999999999999</v>
      </c>
      <c r="P66" s="310">
        <v>7.53</v>
      </c>
      <c r="Q66" s="310">
        <v>0.371</v>
      </c>
      <c r="R66" s="310">
        <v>0.98799999999999999</v>
      </c>
      <c r="S66" s="645">
        <v>0.97699999999999998</v>
      </c>
      <c r="AG66" s="34" t="s">
        <v>1252</v>
      </c>
      <c r="AH66" s="38" t="s">
        <v>944</v>
      </c>
      <c r="AI66" s="666" t="str">
        <f>INDEX('HVAC Types'!B$2:B$86,MATCH($AH66,'HVAC Types'!$A$2:$A$86,0))</f>
        <v>Cooling - HVAC Equipment</v>
      </c>
      <c r="AJ66" s="666" t="str">
        <f>INDEX('HVAC Types'!C$2:C$86,MATCH($AH66,'HVAC Types'!$A$2:$A$86,0))</f>
        <v>Heat Pump</v>
      </c>
      <c r="AK66" s="666" t="str">
        <f>INDEX('HVAC Types'!D$2:D$86,MATCH($AH66,'HVAC Types'!$A$2:$A$86,0))</f>
        <v>ACR Packaged Terminal Heat Pump - PTHP101</v>
      </c>
      <c r="BT66" s="546" t="s">
        <v>1486</v>
      </c>
      <c r="BU66" s="293"/>
      <c r="BV66"/>
      <c r="BW66"/>
      <c r="BX66"/>
      <c r="BY66"/>
      <c r="BZ66"/>
      <c r="CA66"/>
      <c r="CB66"/>
      <c r="CC66"/>
      <c r="CD66"/>
      <c r="CE66"/>
      <c r="CF66"/>
      <c r="CG66"/>
      <c r="CH66"/>
      <c r="CI66"/>
    </row>
    <row r="67" spans="2:87" ht="14.5" x14ac:dyDescent="0.35">
      <c r="B67" s="269" t="s">
        <v>1792</v>
      </c>
      <c r="D67" s="34"/>
      <c r="E67" s="34"/>
      <c r="F67" s="8" t="s">
        <v>18</v>
      </c>
      <c r="G67" s="33"/>
      <c r="H67" s="33"/>
      <c r="I67" s="33"/>
      <c r="AG67" s="34" t="s">
        <v>1253</v>
      </c>
      <c r="AH67" s="38" t="s">
        <v>947</v>
      </c>
      <c r="AI67" s="666" t="str">
        <f>INDEX('HVAC Types'!B$2:B$86,MATCH($AH67,'HVAC Types'!$A$2:$A$86,0))</f>
        <v>Cooling - HVAC Equipment</v>
      </c>
      <c r="AJ67" s="666" t="str">
        <f>INDEX('HVAC Types'!C$2:C$86,MATCH($AH67,'HVAC Types'!$A$2:$A$86,0))</f>
        <v>Heat Pump</v>
      </c>
      <c r="AK67" s="666" t="str">
        <f>INDEX('HVAC Types'!D$2:D$86,MATCH($AH67,'HVAC Types'!$A$2:$A$86,0))</f>
        <v>ACR Packaged Terminal Heat Pump - PTHP201</v>
      </c>
      <c r="BT67" s="546" t="s">
        <v>1491</v>
      </c>
      <c r="BU67" s="293"/>
      <c r="BV67"/>
      <c r="BW67"/>
      <c r="BX67"/>
      <c r="BY67"/>
      <c r="BZ67"/>
      <c r="CA67"/>
      <c r="CB67"/>
      <c r="CC67"/>
      <c r="CD67"/>
      <c r="CE67"/>
      <c r="CF67"/>
      <c r="CG67"/>
      <c r="CH67"/>
      <c r="CI67"/>
    </row>
    <row r="68" spans="2:87" ht="14.5" x14ac:dyDescent="0.35">
      <c r="B68" s="269" t="s">
        <v>1929</v>
      </c>
      <c r="D68" s="34"/>
      <c r="E68" s="34"/>
      <c r="F68" s="8" t="s">
        <v>281</v>
      </c>
      <c r="G68" s="33"/>
      <c r="H68" s="33"/>
      <c r="I68" s="33"/>
      <c r="L68" s="253" t="s">
        <v>1845</v>
      </c>
      <c r="M68" s="41"/>
      <c r="AG68" s="34" t="s">
        <v>1254</v>
      </c>
      <c r="AH68" s="38" t="s">
        <v>950</v>
      </c>
      <c r="AI68" s="666" t="str">
        <f>INDEX('HVAC Types'!B$2:B$86,MATCH($AH68,'HVAC Types'!$A$2:$A$86,0))</f>
        <v>Cooling - HVAC Equipment</v>
      </c>
      <c r="AJ68" s="666" t="str">
        <f>INDEX('HVAC Types'!C$2:C$86,MATCH($AH68,'HVAC Types'!$A$2:$A$86,0))</f>
        <v>Heat Pump</v>
      </c>
      <c r="AK68" s="666" t="str">
        <f>INDEX('HVAC Types'!D$2:D$86,MATCH($AH68,'HVAC Types'!$A$2:$A$86,0))</f>
        <v>ACR Packaged Terminal Heat Pump - PTHP301</v>
      </c>
      <c r="BT68" s="546" t="s">
        <v>1470</v>
      </c>
      <c r="BU68" s="293"/>
      <c r="BV68"/>
      <c r="BW68"/>
      <c r="BX68"/>
      <c r="BY68"/>
      <c r="BZ68"/>
      <c r="CA68"/>
      <c r="CB68"/>
      <c r="CC68"/>
      <c r="CD68"/>
      <c r="CE68"/>
      <c r="CF68"/>
      <c r="CG68"/>
      <c r="CH68"/>
      <c r="CI68"/>
    </row>
    <row r="69" spans="2:87" ht="14.5" x14ac:dyDescent="0.35">
      <c r="B69" s="269" t="s">
        <v>1930</v>
      </c>
      <c r="D69" s="34"/>
      <c r="E69" s="34"/>
      <c r="F69" s="8" t="s">
        <v>282</v>
      </c>
      <c r="G69" s="33"/>
      <c r="H69" s="33"/>
      <c r="I69" s="33"/>
      <c r="L69" s="644" t="s">
        <v>1846</v>
      </c>
      <c r="M69" s="40">
        <v>0.8</v>
      </c>
      <c r="AG69" s="34" t="s">
        <v>882</v>
      </c>
      <c r="AH69" s="299" t="s">
        <v>888</v>
      </c>
      <c r="AI69" s="666" t="str">
        <f>INDEX('HVAC Types'!B$2:B$86,MATCH($AH69,'HVAC Types'!$A$2:$A$86,0))</f>
        <v>Cooling - HVAC Equipment</v>
      </c>
      <c r="AJ69" s="666" t="str">
        <f>INDEX('HVAC Types'!C$2:C$86,MATCH($AH69,'HVAC Types'!$A$2:$A$86,0))</f>
        <v>Heat Pump</v>
      </c>
      <c r="AK69" s="666" t="str">
        <f>INDEX('HVAC Types'!D$2:D$86,MATCH($AH69,'HVAC Types'!$A$2:$A$86,0))</f>
        <v>VRF Water Source Heat Pump - VHP211</v>
      </c>
      <c r="BT69" s="546" t="s">
        <v>1478</v>
      </c>
      <c r="BU69" s="293"/>
      <c r="BV69"/>
      <c r="BW69"/>
      <c r="BX69"/>
      <c r="BY69"/>
      <c r="BZ69"/>
      <c r="CA69"/>
      <c r="CB69"/>
      <c r="CC69"/>
      <c r="CD69"/>
      <c r="CE69"/>
      <c r="CF69"/>
      <c r="CG69"/>
      <c r="CH69"/>
      <c r="CI69"/>
    </row>
    <row r="70" spans="2:87" ht="14.5" x14ac:dyDescent="0.35">
      <c r="B70" s="269" t="s">
        <v>1931</v>
      </c>
      <c r="D70" s="34"/>
      <c r="E70" s="34"/>
      <c r="F70" s="8" t="s">
        <v>283</v>
      </c>
      <c r="G70" s="33"/>
      <c r="H70" s="33"/>
      <c r="I70" s="33"/>
      <c r="J70" s="8"/>
      <c r="K70" s="8"/>
      <c r="L70" s="215" t="s">
        <v>1847</v>
      </c>
      <c r="M70" s="39">
        <v>0.78</v>
      </c>
      <c r="AE70" s="8"/>
      <c r="AF70" s="8"/>
      <c r="AG70" s="34" t="s">
        <v>887</v>
      </c>
      <c r="AH70" s="299" t="s">
        <v>889</v>
      </c>
      <c r="AI70" s="666" t="str">
        <f>INDEX('HVAC Types'!B$2:B$86,MATCH($AH70,'HVAC Types'!$A$2:$A$86,0))</f>
        <v>Cooling - HVAC Equipment</v>
      </c>
      <c r="AJ70" s="666" t="str">
        <f>INDEX('HVAC Types'!C$2:C$86,MATCH($AH70,'HVAC Types'!$A$2:$A$86,0))</f>
        <v>Heat Pump</v>
      </c>
      <c r="AK70" s="666" t="str">
        <f>INDEX('HVAC Types'!D$2:D$86,MATCH($AH70,'HVAC Types'!$A$2:$A$86,0))</f>
        <v>VRF Air Cooled Heat Pump - VHP212</v>
      </c>
      <c r="AX70" s="8"/>
      <c r="AY70" s="8"/>
      <c r="AZ70" s="8"/>
      <c r="BA70" s="8"/>
      <c r="BB70" s="8"/>
      <c r="BC70" s="8"/>
      <c r="BD70" s="8"/>
      <c r="BE70" s="8"/>
      <c r="BF70" s="8"/>
      <c r="BG70" s="8"/>
      <c r="BH70" s="8"/>
      <c r="BT70" s="546" t="s">
        <v>1471</v>
      </c>
      <c r="BU70" s="293" t="s">
        <v>1525</v>
      </c>
      <c r="BV70"/>
      <c r="BW70"/>
      <c r="BX70"/>
      <c r="BY70"/>
      <c r="BZ70"/>
      <c r="CA70"/>
      <c r="CB70"/>
      <c r="CC70"/>
      <c r="CD70"/>
      <c r="CE70"/>
      <c r="CF70"/>
      <c r="CG70"/>
      <c r="CH70"/>
      <c r="CI70"/>
    </row>
    <row r="71" spans="2:87" ht="14.5" x14ac:dyDescent="0.35">
      <c r="B71" s="269" t="s">
        <v>1932</v>
      </c>
      <c r="D71" s="34"/>
      <c r="E71" s="34"/>
      <c r="F71" s="8" t="s">
        <v>284</v>
      </c>
      <c r="G71" s="33"/>
      <c r="H71" s="33"/>
      <c r="I71" s="33"/>
      <c r="AG71" s="34" t="s">
        <v>883</v>
      </c>
      <c r="AH71" s="299" t="s">
        <v>890</v>
      </c>
      <c r="AI71" s="666" t="str">
        <f>INDEX('HVAC Types'!B$2:B$86,MATCH($AH71,'HVAC Types'!$A$2:$A$86,0))</f>
        <v>Cooling - HVAC Equipment</v>
      </c>
      <c r="AJ71" s="666" t="str">
        <f>INDEX('HVAC Types'!C$2:C$86,MATCH($AH71,'HVAC Types'!$A$2:$A$86,0))</f>
        <v>Heat Pump</v>
      </c>
      <c r="AK71" s="666" t="str">
        <f>INDEX('HVAC Types'!D$2:D$86,MATCH($AH71,'HVAC Types'!$A$2:$A$86,0))</f>
        <v>VRF Air Cooled Heat Pump - VHP311</v>
      </c>
      <c r="BT71" s="546" t="s">
        <v>1479</v>
      </c>
      <c r="BU71" s="293" t="s">
        <v>1525</v>
      </c>
      <c r="BV71"/>
      <c r="BW71"/>
      <c r="BX71"/>
      <c r="BY71"/>
      <c r="BZ71"/>
      <c r="CA71"/>
      <c r="CB71"/>
      <c r="CC71"/>
      <c r="CD71"/>
      <c r="CE71"/>
      <c r="CF71"/>
      <c r="CG71"/>
      <c r="CH71"/>
      <c r="CI71"/>
    </row>
    <row r="72" spans="2:87" ht="14.5" x14ac:dyDescent="0.35">
      <c r="B72" s="269" t="s">
        <v>1798</v>
      </c>
      <c r="D72" s="34"/>
      <c r="E72" s="34"/>
      <c r="F72" s="8" t="s">
        <v>19</v>
      </c>
      <c r="G72" s="33"/>
      <c r="H72" s="33"/>
      <c r="I72" s="33"/>
      <c r="AG72" s="34" t="s">
        <v>884</v>
      </c>
      <c r="AH72" s="299" t="s">
        <v>891</v>
      </c>
      <c r="AI72" s="666" t="str">
        <f>INDEX('HVAC Types'!B$2:B$86,MATCH($AH72,'HVAC Types'!$A$2:$A$86,0))</f>
        <v>Cooling - HVAC Equipment</v>
      </c>
      <c r="AJ72" s="666" t="str">
        <f>INDEX('HVAC Types'!C$2:C$86,MATCH($AH72,'HVAC Types'!$A$2:$A$86,0))</f>
        <v>Heat Pump</v>
      </c>
      <c r="AK72" s="666" t="str">
        <f>INDEX('HVAC Types'!D$2:D$86,MATCH($AH72,'HVAC Types'!$A$2:$A$86,0))</f>
        <v>VRF Air Cooled Heat Pump - VHP321</v>
      </c>
      <c r="BT72" s="546" t="s">
        <v>1487</v>
      </c>
      <c r="BU72" s="293" t="s">
        <v>1525</v>
      </c>
      <c r="BV72"/>
      <c r="BW72"/>
      <c r="BX72"/>
      <c r="BY72"/>
      <c r="BZ72"/>
      <c r="CA72"/>
      <c r="CB72"/>
      <c r="CC72"/>
      <c r="CD72"/>
      <c r="CE72"/>
      <c r="CF72"/>
      <c r="CG72"/>
      <c r="CH72"/>
      <c r="CI72"/>
    </row>
    <row r="73" spans="2:87" ht="14.5" x14ac:dyDescent="0.35">
      <c r="B73" s="269" t="s">
        <v>1933</v>
      </c>
      <c r="D73" s="34"/>
      <c r="E73" s="34"/>
      <c r="F73" s="8" t="s">
        <v>285</v>
      </c>
      <c r="G73" s="33"/>
      <c r="H73" s="33"/>
      <c r="I73" s="33"/>
      <c r="AG73" s="34" t="s">
        <v>885</v>
      </c>
      <c r="AH73" s="299" t="s">
        <v>892</v>
      </c>
      <c r="AI73" s="666" t="str">
        <f>INDEX('HVAC Types'!B$2:B$86,MATCH($AH73,'HVAC Types'!$A$2:$A$86,0))</f>
        <v>Cooling - HVAC Equipment</v>
      </c>
      <c r="AJ73" s="666" t="str">
        <f>INDEX('HVAC Types'!C$2:C$86,MATCH($AH73,'HVAC Types'!$A$2:$A$86,0))</f>
        <v>Heat Pump</v>
      </c>
      <c r="AK73" s="666" t="str">
        <f>INDEX('HVAC Types'!D$2:D$86,MATCH($AH73,'HVAC Types'!$A$2:$A$86,0))</f>
        <v>VRF Air Cooled Heat Pump - VHP411</v>
      </c>
      <c r="BT73" s="546" t="s">
        <v>1492</v>
      </c>
      <c r="BU73" s="293" t="s">
        <v>1525</v>
      </c>
      <c r="BV73"/>
      <c r="BW73"/>
      <c r="BX73"/>
      <c r="BY73"/>
      <c r="BZ73"/>
      <c r="CA73"/>
      <c r="CB73"/>
      <c r="CC73"/>
      <c r="CD73"/>
      <c r="CE73"/>
      <c r="CF73"/>
      <c r="CG73"/>
      <c r="CH73"/>
      <c r="CI73"/>
    </row>
    <row r="74" spans="2:87" ht="14.5" x14ac:dyDescent="0.35">
      <c r="B74" s="269" t="s">
        <v>1802</v>
      </c>
      <c r="D74" s="34"/>
      <c r="E74" s="34"/>
      <c r="F74" s="8" t="s">
        <v>286</v>
      </c>
      <c r="G74" s="33"/>
      <c r="H74" s="33"/>
      <c r="I74" s="33"/>
      <c r="AG74" s="34" t="s">
        <v>886</v>
      </c>
      <c r="AH74" s="299" t="s">
        <v>893</v>
      </c>
      <c r="AI74" s="666" t="str">
        <f>INDEX('HVAC Types'!B$2:B$86,MATCH($AH74,'HVAC Types'!$A$2:$A$86,0))</f>
        <v>Cooling - HVAC Equipment</v>
      </c>
      <c r="AJ74" s="666" t="str">
        <f>INDEX('HVAC Types'!C$2:C$86,MATCH($AH74,'HVAC Types'!$A$2:$A$86,0))</f>
        <v>Heat Pump</v>
      </c>
      <c r="AK74" s="666" t="str">
        <f>INDEX('HVAC Types'!D$2:D$86,MATCH($AH74,'HVAC Types'!$A$2:$A$86,0))</f>
        <v>VRF Air Cooled Heat Pump - VHP421</v>
      </c>
      <c r="BT74" s="546" t="s">
        <v>1472</v>
      </c>
      <c r="BU74" s="293"/>
      <c r="BV74"/>
      <c r="BW74"/>
      <c r="BX74"/>
      <c r="BY74"/>
      <c r="BZ74"/>
      <c r="CA74"/>
      <c r="CB74"/>
      <c r="CC74"/>
      <c r="CD74"/>
      <c r="CE74"/>
      <c r="CF74"/>
      <c r="CG74"/>
      <c r="CH74"/>
      <c r="CI74"/>
    </row>
    <row r="75" spans="2:87" ht="14.5" x14ac:dyDescent="0.35">
      <c r="B75" s="269" t="s">
        <v>180</v>
      </c>
      <c r="D75" s="34"/>
      <c r="E75" s="34"/>
      <c r="F75" s="8" t="s">
        <v>287</v>
      </c>
      <c r="G75" s="33"/>
      <c r="H75" s="33"/>
      <c r="I75" s="33"/>
      <c r="AG75" s="34" t="s">
        <v>1705</v>
      </c>
      <c r="AH75" s="38" t="s">
        <v>1604</v>
      </c>
      <c r="AI75" s="666" t="str">
        <f>INDEX('HVAC Types'!B$2:B$86,MATCH($AH75,'HVAC Types'!$A$2:$A$86,0))</f>
        <v>Cooling - HVAC Equipment</v>
      </c>
      <c r="AJ75" s="666" t="str">
        <f>INDEX('HVAC Types'!C$2:C$86,MATCH($AH75,'HVAC Types'!$A$2:$A$86,0))</f>
        <v>Heat Pump</v>
      </c>
      <c r="AK75" s="666" t="str">
        <f>INDEX('HVAC Types'!D$2:D$86,MATCH($AH75,'HVAC Types'!$A$2:$A$86,0))</f>
        <v>Ductless Mini-Split Cold Climate Heat Pump - CCHP101</v>
      </c>
      <c r="BT75"/>
      <c r="BU75"/>
      <c r="BV75"/>
      <c r="BW75"/>
      <c r="BX75"/>
      <c r="BY75"/>
      <c r="BZ75"/>
      <c r="CA75"/>
      <c r="CB75"/>
      <c r="CC75"/>
      <c r="CD75"/>
      <c r="CE75"/>
      <c r="CF75"/>
      <c r="CG75"/>
      <c r="CH75"/>
      <c r="CI75"/>
    </row>
    <row r="76" spans="2:87" ht="14.5" x14ac:dyDescent="0.35">
      <c r="D76" s="34"/>
      <c r="E76" s="34"/>
      <c r="F76" s="8" t="s">
        <v>288</v>
      </c>
      <c r="G76" s="33"/>
      <c r="H76" s="33"/>
      <c r="I76" s="33"/>
      <c r="AG76" s="34" t="s">
        <v>1698</v>
      </c>
      <c r="AH76" s="38" t="s">
        <v>1594</v>
      </c>
      <c r="AI76" s="666" t="str">
        <f>INDEX('HVAC Types'!B$2:B$86,MATCH($AH76,'HVAC Types'!$A$2:$A$86,0))</f>
        <v>Cooling - HVAC Equipment</v>
      </c>
      <c r="AJ76" s="666" t="str">
        <f>INDEX('HVAC Types'!C$2:C$86,MATCH($AH76,'HVAC Types'!$A$2:$A$86,0))</f>
        <v>Heat Pump</v>
      </c>
      <c r="AK76" s="666" t="str">
        <f>INDEX('HVAC Types'!D$2:D$86,MATCH($AH76,'HVAC Types'!$A$2:$A$86,0))</f>
        <v>Ductless Mini-Split Cold Climate Heat Pump - CCHP101-NC</v>
      </c>
      <c r="BT76"/>
      <c r="BU76"/>
      <c r="BV76"/>
      <c r="BW76"/>
      <c r="BX76"/>
      <c r="BY76"/>
      <c r="BZ76"/>
      <c r="CA76"/>
      <c r="CB76"/>
      <c r="CC76"/>
      <c r="CD76"/>
      <c r="CE76"/>
      <c r="CF76"/>
      <c r="CG76"/>
      <c r="CH76"/>
      <c r="CI76"/>
    </row>
    <row r="77" spans="2:87" ht="14.5" x14ac:dyDescent="0.35">
      <c r="B77" s="547" t="s">
        <v>2175</v>
      </c>
      <c r="D77" s="34"/>
      <c r="E77" s="34"/>
      <c r="F77" s="8" t="s">
        <v>289</v>
      </c>
      <c r="G77" s="33"/>
      <c r="H77" s="33"/>
      <c r="I77" s="33"/>
      <c r="AG77" s="34" t="s">
        <v>1699</v>
      </c>
      <c r="AH77" s="38" t="s">
        <v>1595</v>
      </c>
      <c r="AI77" s="666" t="str">
        <f>INDEX('HVAC Types'!B$2:B$86,MATCH($AH77,'HVAC Types'!$A$2:$A$86,0))</f>
        <v>Cooling - HVAC Equipment</v>
      </c>
      <c r="AJ77" s="666" t="str">
        <f>INDEX('HVAC Types'!C$2:C$86,MATCH($AH77,'HVAC Types'!$A$2:$A$86,0))</f>
        <v>Heat Pump</v>
      </c>
      <c r="AK77" s="666" t="str">
        <f>INDEX('HVAC Types'!D$2:D$86,MATCH($AH77,'HVAC Types'!$A$2:$A$86,0))</f>
        <v>Ductless Mini-Split Cold Climate Heat Pump - CCHP101-OC</v>
      </c>
      <c r="BT77"/>
      <c r="BU77"/>
      <c r="BV77"/>
      <c r="BW77"/>
      <c r="BX77"/>
      <c r="BY77"/>
      <c r="BZ77"/>
      <c r="CA77"/>
      <c r="CB77"/>
      <c r="CC77"/>
      <c r="CD77"/>
      <c r="CE77"/>
      <c r="CF77"/>
      <c r="CG77"/>
      <c r="CH77"/>
      <c r="CI77"/>
    </row>
    <row r="78" spans="2:87" ht="14.5" x14ac:dyDescent="0.35">
      <c r="B78" s="668" t="s">
        <v>1921</v>
      </c>
      <c r="D78" s="34"/>
      <c r="E78" s="34"/>
      <c r="F78" s="8" t="s">
        <v>290</v>
      </c>
      <c r="G78" s="33"/>
      <c r="H78" s="33"/>
      <c r="I78" s="33"/>
      <c r="AG78" s="34" t="s">
        <v>1700</v>
      </c>
      <c r="AH78" s="38" t="s">
        <v>1596</v>
      </c>
      <c r="AI78" s="666" t="str">
        <f>INDEX('HVAC Types'!B$2:B$86,MATCH($AH78,'HVAC Types'!$A$2:$A$86,0))</f>
        <v>Cooling - HVAC Equipment</v>
      </c>
      <c r="AJ78" s="666" t="str">
        <f>INDEX('HVAC Types'!C$2:C$86,MATCH($AH78,'HVAC Types'!$A$2:$A$86,0))</f>
        <v>Heat Pump</v>
      </c>
      <c r="AK78" s="666" t="str">
        <f>INDEX('HVAC Types'!D$2:D$86,MATCH($AH78,'HVAC Types'!$A$2:$A$86,0))</f>
        <v>Ductless Mini-Split Cold Climate Heat Pump - CCHP101-AO</v>
      </c>
      <c r="BT78"/>
      <c r="BU78"/>
      <c r="BV78"/>
      <c r="BW78"/>
      <c r="BX78"/>
      <c r="BY78"/>
      <c r="BZ78"/>
      <c r="CA78"/>
      <c r="CB78"/>
      <c r="CC78"/>
      <c r="CD78"/>
      <c r="CE78"/>
      <c r="CF78"/>
      <c r="CG78"/>
      <c r="CH78"/>
      <c r="CI78"/>
    </row>
    <row r="79" spans="2:87" ht="14.5" x14ac:dyDescent="0.35">
      <c r="B79" s="668" t="s">
        <v>1588</v>
      </c>
      <c r="D79" s="34"/>
      <c r="E79" s="34"/>
      <c r="F79" s="8" t="s">
        <v>291</v>
      </c>
      <c r="G79" s="33"/>
      <c r="H79" s="33"/>
      <c r="I79" s="33"/>
      <c r="AG79" s="34" t="s">
        <v>2255</v>
      </c>
      <c r="AH79" s="38" t="s">
        <v>2254</v>
      </c>
      <c r="AI79" s="666" t="str">
        <f>INDEX('HVAC Types'!B$2:B$86,MATCH($AH79,'HVAC Types'!$A$2:$A$86,0))</f>
        <v>Cooling - HVAC Equipment</v>
      </c>
      <c r="AJ79" s="666" t="str">
        <f>INDEX('HVAC Types'!C$2:C$86,MATCH($AH79,'HVAC Types'!$A$2:$A$86,0))</f>
        <v>Heat Pump</v>
      </c>
      <c r="AK79" s="666" t="str">
        <f>INDEX('HVAC Types'!D$2:D$86,MATCH($AH79,'HVAC Types'!$A$2:$A$86,0))</f>
        <v>Ductless Multi-Split Cold Climate Heat Pump - CCHP151</v>
      </c>
      <c r="BT79"/>
      <c r="BU79"/>
      <c r="BV79"/>
      <c r="BW79"/>
      <c r="BX79"/>
      <c r="BY79"/>
      <c r="BZ79"/>
      <c r="CA79"/>
      <c r="CB79"/>
      <c r="CC79"/>
      <c r="CD79"/>
      <c r="CE79"/>
      <c r="CF79"/>
      <c r="CG79"/>
      <c r="CH79"/>
      <c r="CI79"/>
    </row>
    <row r="80" spans="2:87" ht="14.5" x14ac:dyDescent="0.35">
      <c r="B80" s="668" t="s">
        <v>1978</v>
      </c>
      <c r="D80" s="34"/>
      <c r="E80" s="34"/>
      <c r="F80" s="8" t="s">
        <v>292</v>
      </c>
      <c r="G80" s="33"/>
      <c r="H80" s="33"/>
      <c r="I80" s="33"/>
      <c r="AG80" s="34" t="s">
        <v>1904</v>
      </c>
      <c r="AH80" s="38" t="s">
        <v>1895</v>
      </c>
      <c r="AI80" s="666" t="str">
        <f>INDEX('HVAC Types'!B$2:B$86,MATCH($AH80,'HVAC Types'!$A$2:$A$86,0))</f>
        <v>Cooling - HVAC Equipment</v>
      </c>
      <c r="AJ80" s="666" t="str">
        <f>INDEX('HVAC Types'!C$2:C$86,MATCH($AH80,'HVAC Types'!$A$2:$A$86,0))</f>
        <v>Heat Pump</v>
      </c>
      <c r="AK80" s="666" t="str">
        <f>INDEX('HVAC Types'!D$2:D$86,MATCH($AH80,'HVAC Types'!$A$2:$A$86,0))</f>
        <v>Ductless Multi-Split Cold Climate Heat Pump - CCHP151-NC</v>
      </c>
      <c r="BT80"/>
      <c r="BU80"/>
      <c r="BV80"/>
      <c r="BW80"/>
      <c r="BX80"/>
      <c r="BY80"/>
      <c r="BZ80"/>
      <c r="CA80"/>
      <c r="CB80"/>
      <c r="CC80"/>
      <c r="CD80"/>
      <c r="CE80"/>
      <c r="CF80"/>
      <c r="CG80"/>
      <c r="CH80"/>
      <c r="CI80"/>
    </row>
    <row r="81" spans="2:73" ht="14.5" x14ac:dyDescent="0.35">
      <c r="D81" s="34"/>
      <c r="E81" s="34"/>
      <c r="F81" s="8" t="s">
        <v>293</v>
      </c>
      <c r="G81" s="33"/>
      <c r="H81" s="33"/>
      <c r="I81" s="33"/>
      <c r="AG81" s="34" t="s">
        <v>1905</v>
      </c>
      <c r="AH81" s="38" t="s">
        <v>1896</v>
      </c>
      <c r="AI81" s="666" t="str">
        <f>INDEX('HVAC Types'!B$2:B$86,MATCH($AH81,'HVAC Types'!$A$2:$A$86,0))</f>
        <v>Cooling - HVAC Equipment</v>
      </c>
      <c r="AJ81" s="666" t="str">
        <f>INDEX('HVAC Types'!C$2:C$86,MATCH($AH81,'HVAC Types'!$A$2:$A$86,0))</f>
        <v>Heat Pump</v>
      </c>
      <c r="AK81" s="666" t="str">
        <f>INDEX('HVAC Types'!D$2:D$86,MATCH($AH81,'HVAC Types'!$A$2:$A$86,0))</f>
        <v>Ductless Multi-Split Cold Climate Heat Pump - CCHP151-OC</v>
      </c>
      <c r="BT81"/>
      <c r="BU81"/>
    </row>
    <row r="82" spans="2:73" ht="14.5" x14ac:dyDescent="0.35">
      <c r="B82" s="547" t="s">
        <v>2236</v>
      </c>
      <c r="D82" s="34"/>
      <c r="E82" s="34"/>
      <c r="F82" s="210" t="s">
        <v>294</v>
      </c>
      <c r="G82" s="34"/>
      <c r="H82" s="40"/>
      <c r="I82" s="40"/>
      <c r="AG82" s="34" t="s">
        <v>1906</v>
      </c>
      <c r="AH82" s="38" t="s">
        <v>1897</v>
      </c>
      <c r="AI82" s="666" t="str">
        <f>INDEX('HVAC Types'!B$2:B$86,MATCH($AH82,'HVAC Types'!$A$2:$A$86,0))</f>
        <v>Cooling - HVAC Equipment</v>
      </c>
      <c r="AJ82" s="666" t="str">
        <f>INDEX('HVAC Types'!C$2:C$86,MATCH($AH82,'HVAC Types'!$A$2:$A$86,0))</f>
        <v>Heat Pump</v>
      </c>
      <c r="AK82" s="666" t="str">
        <f>INDEX('HVAC Types'!D$2:D$86,MATCH($AH82,'HVAC Types'!$A$2:$A$86,0))</f>
        <v>Ductless Multi-Split Cold Climate Heat Pump - CCHP151-AO</v>
      </c>
    </row>
    <row r="83" spans="2:73" ht="14" x14ac:dyDescent="0.3">
      <c r="B83" s="668" t="s">
        <v>1921</v>
      </c>
      <c r="D83" s="624"/>
      <c r="E83" s="624"/>
      <c r="F83" s="662"/>
      <c r="G83" s="624"/>
      <c r="H83" s="40"/>
      <c r="I83" s="40"/>
      <c r="AG83" s="34" t="s">
        <v>1704</v>
      </c>
      <c r="AH83" s="38" t="s">
        <v>1607</v>
      </c>
      <c r="AI83" s="666" t="str">
        <f>INDEX('HVAC Types'!B$2:B$86,MATCH($AH83,'HVAC Types'!$A$2:$A$86,0))</f>
        <v>Cooling - HVAC Equipment</v>
      </c>
      <c r="AJ83" s="666" t="str">
        <f>INDEX('HVAC Types'!C$2:C$86,MATCH($AH83,'HVAC Types'!$A$2:$A$86,0))</f>
        <v>Heat Pump</v>
      </c>
      <c r="AK83" s="666" t="str">
        <f>INDEX('HVAC Types'!D$2:D$86,MATCH($AH83,'HVAC Types'!$A$2:$A$86,0))</f>
        <v>Ducted Cold Climate Heat Pump - CCHP211</v>
      </c>
    </row>
    <row r="84" spans="2:73" ht="14" x14ac:dyDescent="0.3">
      <c r="B84" s="668" t="s">
        <v>2238</v>
      </c>
      <c r="D84" s="624"/>
      <c r="E84" s="624"/>
      <c r="F84" s="662"/>
      <c r="G84" s="624"/>
      <c r="H84" s="40"/>
      <c r="I84" s="40"/>
      <c r="AG84" s="34" t="s">
        <v>1701</v>
      </c>
      <c r="AH84" s="38" t="s">
        <v>1597</v>
      </c>
      <c r="AI84" s="666" t="str">
        <f>INDEX('HVAC Types'!B$2:B$86,MATCH($AH84,'HVAC Types'!$A$2:$A$86,0))</f>
        <v>Cooling - HVAC Equipment</v>
      </c>
      <c r="AJ84" s="666" t="str">
        <f>INDEX('HVAC Types'!C$2:C$86,MATCH($AH84,'HVAC Types'!$A$2:$A$86,0))</f>
        <v>Heat Pump</v>
      </c>
      <c r="AK84" s="666" t="str">
        <f>INDEX('HVAC Types'!D$2:D$86,MATCH($AH84,'HVAC Types'!$A$2:$A$86,0))</f>
        <v>Ducted Cold Climate Heat Pump - CCHP211-NC</v>
      </c>
    </row>
    <row r="85" spans="2:73" ht="14" x14ac:dyDescent="0.3">
      <c r="B85" s="668" t="s">
        <v>2239</v>
      </c>
      <c r="D85" s="624"/>
      <c r="E85" s="624"/>
      <c r="F85" s="662"/>
      <c r="G85" s="624"/>
      <c r="H85" s="40"/>
      <c r="I85" s="40"/>
      <c r="AG85" s="34" t="s">
        <v>1702</v>
      </c>
      <c r="AH85" s="38" t="s">
        <v>1598</v>
      </c>
      <c r="AI85" s="666" t="str">
        <f>INDEX('HVAC Types'!B$2:B$86,MATCH($AH85,'HVAC Types'!$A$2:$A$86,0))</f>
        <v>Cooling - HVAC Equipment</v>
      </c>
      <c r="AJ85" s="666" t="str">
        <f>INDEX('HVAC Types'!C$2:C$86,MATCH($AH85,'HVAC Types'!$A$2:$A$86,0))</f>
        <v>Heat Pump</v>
      </c>
      <c r="AK85" s="666" t="str">
        <f>INDEX('HVAC Types'!D$2:D$86,MATCH($AH85,'HVAC Types'!$A$2:$A$86,0))</f>
        <v>Ducted Cold Climate Heat Pump - CCHP211-OC</v>
      </c>
    </row>
    <row r="86" spans="2:73" x14ac:dyDescent="0.3">
      <c r="D86" s="34"/>
      <c r="E86" s="34"/>
      <c r="F86" s="210" t="s">
        <v>295</v>
      </c>
      <c r="G86" s="34"/>
      <c r="H86" s="40"/>
      <c r="I86" s="40"/>
      <c r="AG86" s="34" t="s">
        <v>1703</v>
      </c>
      <c r="AH86" s="38" t="s">
        <v>1599</v>
      </c>
      <c r="AI86" s="666" t="str">
        <f>INDEX('HVAC Types'!B$2:B$86,MATCH($AH86,'HVAC Types'!$A$2:$A$86,0))</f>
        <v>Cooling - HVAC Equipment</v>
      </c>
      <c r="AJ86" s="666" t="str">
        <f>INDEX('HVAC Types'!C$2:C$86,MATCH($AH86,'HVAC Types'!$A$2:$A$86,0))</f>
        <v>Heat Pump</v>
      </c>
      <c r="AK86" s="666" t="str">
        <f>INDEX('HVAC Types'!D$2:D$86,MATCH($AH86,'HVAC Types'!$A$2:$A$86,0))</f>
        <v>Ducted Cold Climate Heat Pump - CCHP211-AO</v>
      </c>
    </row>
    <row r="87" spans="2:73" x14ac:dyDescent="0.3">
      <c r="D87" s="34"/>
      <c r="E87" s="34"/>
      <c r="F87" s="210" t="s">
        <v>296</v>
      </c>
      <c r="G87" s="34"/>
      <c r="H87" s="40"/>
      <c r="I87" s="40"/>
      <c r="AG87" s="34" t="s">
        <v>1818</v>
      </c>
      <c r="AH87" s="38" t="s">
        <v>1875</v>
      </c>
      <c r="AI87" s="666" t="str">
        <f>INDEX('HVAC Types'!B$2:B$91,MATCH($AH87,'HVAC Types'!$A$2:$A$91,0))</f>
        <v>Cooling - HVAC Equipment</v>
      </c>
      <c r="AJ87" s="666" t="str">
        <f>INDEX('HVAC Types'!C$2:C$91,MATCH($AH87,'HVAC Types'!$A$2:$A$91,0))</f>
        <v>Cooling &amp; Controls</v>
      </c>
      <c r="AK87" s="666" t="str">
        <f>INDEX('HVAC Types'!D$2:D$91,MATCH($AH87,'HVAC Types'!$A$2:$A$91,0))</f>
        <v>Cooling HVAC Equipment - CEP405</v>
      </c>
    </row>
    <row r="88" spans="2:73" x14ac:dyDescent="0.3">
      <c r="D88" s="34"/>
      <c r="E88" s="34"/>
      <c r="F88" s="210" t="s">
        <v>297</v>
      </c>
      <c r="G88" s="34"/>
      <c r="H88" s="40"/>
      <c r="I88" s="40"/>
      <c r="AG88" s="34" t="s">
        <v>1969</v>
      </c>
      <c r="AH88" s="38" t="s">
        <v>1876</v>
      </c>
      <c r="AI88" s="666" t="str">
        <f>INDEX('HVAC Types'!B$2:B$91,MATCH($AH88,'HVAC Types'!$A$2:$A$91,0))</f>
        <v>Cooling - HVAC Equipment</v>
      </c>
      <c r="AJ88" s="666" t="str">
        <f>INDEX('HVAC Types'!C$2:C$91,MATCH($AH88,'HVAC Types'!$A$2:$A$91,0))</f>
        <v>Cooling &amp; Controls</v>
      </c>
      <c r="AK88" s="666" t="str">
        <f>INDEX('HVAC Types'!D$2:D$91,MATCH($AH88,'HVAC Types'!$A$2:$A$91,0))</f>
        <v>Cooling HVAC Equipment - CEP406</v>
      </c>
    </row>
    <row r="89" spans="2:73" x14ac:dyDescent="0.3">
      <c r="D89" s="34"/>
      <c r="E89" s="34"/>
      <c r="F89" s="210" t="s">
        <v>298</v>
      </c>
      <c r="G89" s="34"/>
      <c r="H89" s="40"/>
      <c r="I89" s="40"/>
      <c r="AG89" s="34" t="s">
        <v>1408</v>
      </c>
      <c r="AH89" s="38" t="s">
        <v>1877</v>
      </c>
      <c r="AI89" s="666" t="str">
        <f>INDEX('HVAC Types'!B$2:B$91,MATCH($AH89,'HVAC Types'!$A$2:$A$91,0))</f>
        <v>Cooling - HVAC Equipment</v>
      </c>
      <c r="AJ89" s="666" t="str">
        <f>INDEX('HVAC Types'!C$2:C$91,MATCH($AH89,'HVAC Types'!$A$2:$A$91,0))</f>
        <v>Cooling &amp; Controls</v>
      </c>
      <c r="AK89" s="666" t="str">
        <f>INDEX('HVAC Types'!D$2:D$91,MATCH($AH89,'HVAC Types'!$A$2:$A$91,0))</f>
        <v>Cooling HVAC Equipment - CEP410</v>
      </c>
    </row>
    <row r="90" spans="2:73" x14ac:dyDescent="0.3">
      <c r="D90" s="65"/>
      <c r="E90" s="65"/>
      <c r="F90" s="210" t="s">
        <v>299</v>
      </c>
      <c r="G90" s="65"/>
      <c r="H90" s="135"/>
      <c r="I90" s="135"/>
      <c r="AG90" s="32" t="s">
        <v>1397</v>
      </c>
      <c r="AH90" s="36" t="s">
        <v>1592</v>
      </c>
      <c r="AI90" s="36" t="str">
        <f>INDEX('HVAC Types'!B$2:B$91,MATCH($AH90,'HVAC Types'!$A$2:$A$91,0))</f>
        <v>Cooling - HVAC Equipment</v>
      </c>
      <c r="AJ90" s="36" t="str">
        <f>INDEX('HVAC Types'!C$2:C$91,MATCH($AH90,'HVAC Types'!$A$2:$A$91,0))</f>
        <v>Cooling &amp; Controls</v>
      </c>
      <c r="AK90" s="36" t="str">
        <f>INDEX('HVAC Types'!D$2:D$91,MATCH($AH90,'HVAC Types'!$A$2:$A$91,0))</f>
        <v>Cooling HVAC Equipment - CEP402</v>
      </c>
    </row>
    <row r="91" spans="2:73" x14ac:dyDescent="0.3">
      <c r="D91" s="34"/>
      <c r="E91" s="34"/>
      <c r="F91" s="210" t="s">
        <v>300</v>
      </c>
      <c r="G91" s="34"/>
      <c r="H91" s="40"/>
      <c r="I91" s="40"/>
    </row>
    <row r="92" spans="2:73" x14ac:dyDescent="0.3">
      <c r="D92" s="34"/>
      <c r="E92" s="34"/>
      <c r="F92" s="210" t="s">
        <v>301</v>
      </c>
      <c r="G92" s="34"/>
      <c r="H92" s="40"/>
      <c r="I92" s="40"/>
    </row>
    <row r="93" spans="2:73" x14ac:dyDescent="0.3">
      <c r="D93" s="34"/>
      <c r="E93" s="34"/>
      <c r="F93" s="210" t="s">
        <v>302</v>
      </c>
      <c r="G93" s="34"/>
      <c r="H93" s="40"/>
      <c r="I93" s="40"/>
    </row>
    <row r="94" spans="2:73" x14ac:dyDescent="0.3">
      <c r="D94" s="34"/>
      <c r="E94" s="34"/>
      <c r="F94" s="210" t="s">
        <v>303</v>
      </c>
      <c r="G94" s="34"/>
      <c r="H94" s="40"/>
      <c r="I94" s="40"/>
    </row>
    <row r="95" spans="2:73" x14ac:dyDescent="0.3">
      <c r="D95" s="34"/>
      <c r="E95" s="34"/>
      <c r="F95" s="210" t="s">
        <v>304</v>
      </c>
      <c r="G95" s="34"/>
      <c r="H95" s="40"/>
      <c r="I95" s="40"/>
    </row>
    <row r="96" spans="2:73" x14ac:dyDescent="0.3">
      <c r="D96" s="34"/>
      <c r="E96" s="34"/>
      <c r="F96" s="210" t="s">
        <v>305</v>
      </c>
      <c r="G96" s="34"/>
      <c r="H96" s="40"/>
      <c r="I96" s="40"/>
    </row>
    <row r="97" spans="4:9" x14ac:dyDescent="0.3">
      <c r="D97" s="34"/>
      <c r="E97" s="34"/>
      <c r="F97" s="210" t="s">
        <v>306</v>
      </c>
      <c r="G97" s="34"/>
      <c r="H97" s="40"/>
      <c r="I97" s="40"/>
    </row>
    <row r="98" spans="4:9" x14ac:dyDescent="0.3">
      <c r="D98" s="34"/>
      <c r="E98" s="34"/>
      <c r="F98" s="210" t="s">
        <v>307</v>
      </c>
      <c r="G98" s="34"/>
      <c r="H98" s="40"/>
      <c r="I98" s="40"/>
    </row>
    <row r="99" spans="4:9" x14ac:dyDescent="0.3">
      <c r="D99" s="34"/>
      <c r="E99" s="34"/>
      <c r="F99" s="210" t="s">
        <v>308</v>
      </c>
      <c r="G99" s="34"/>
      <c r="H99" s="40"/>
      <c r="I99" s="40"/>
    </row>
    <row r="100" spans="4:9" x14ac:dyDescent="0.3">
      <c r="D100" s="34"/>
      <c r="E100" s="34"/>
      <c r="F100" s="210" t="s">
        <v>309</v>
      </c>
      <c r="G100" s="34"/>
      <c r="H100" s="40"/>
      <c r="I100" s="40"/>
    </row>
    <row r="101" spans="4:9" x14ac:dyDescent="0.3">
      <c r="D101" s="34"/>
      <c r="E101" s="34"/>
      <c r="F101" s="210" t="s">
        <v>310</v>
      </c>
      <c r="G101" s="34"/>
      <c r="H101" s="40"/>
      <c r="I101" s="40"/>
    </row>
    <row r="102" spans="4:9" x14ac:dyDescent="0.3">
      <c r="D102" s="34"/>
      <c r="E102" s="34"/>
      <c r="F102" s="210" t="s">
        <v>20</v>
      </c>
      <c r="G102" s="34"/>
      <c r="H102" s="40"/>
      <c r="I102" s="40"/>
    </row>
    <row r="103" spans="4:9" x14ac:dyDescent="0.3">
      <c r="D103" s="34"/>
      <c r="E103" s="34"/>
      <c r="F103" s="210" t="s">
        <v>311</v>
      </c>
      <c r="G103" s="34"/>
      <c r="H103" s="40"/>
      <c r="I103" s="40"/>
    </row>
    <row r="104" spans="4:9" x14ac:dyDescent="0.3">
      <c r="D104" s="34"/>
      <c r="E104" s="34"/>
      <c r="F104" s="210" t="s">
        <v>312</v>
      </c>
      <c r="G104" s="34"/>
      <c r="H104" s="40"/>
      <c r="I104" s="40"/>
    </row>
    <row r="105" spans="4:9" x14ac:dyDescent="0.3">
      <c r="D105" s="34"/>
      <c r="E105" s="34"/>
      <c r="F105" s="210" t="s">
        <v>21</v>
      </c>
      <c r="G105" s="34"/>
      <c r="H105" s="40"/>
      <c r="I105" s="40"/>
    </row>
    <row r="106" spans="4:9" x14ac:dyDescent="0.3">
      <c r="D106" s="34"/>
      <c r="E106" s="34"/>
      <c r="F106" s="210" t="s">
        <v>313</v>
      </c>
      <c r="G106" s="34"/>
      <c r="H106" s="40"/>
      <c r="I106" s="40"/>
    </row>
    <row r="107" spans="4:9" x14ac:dyDescent="0.3">
      <c r="D107" s="34"/>
      <c r="E107" s="34"/>
      <c r="F107" s="210" t="s">
        <v>314</v>
      </c>
      <c r="G107" s="34"/>
      <c r="H107" s="40"/>
      <c r="I107" s="40"/>
    </row>
    <row r="108" spans="4:9" x14ac:dyDescent="0.3">
      <c r="D108" s="34"/>
      <c r="E108" s="34"/>
      <c r="F108" s="210" t="s">
        <v>315</v>
      </c>
      <c r="G108" s="34"/>
      <c r="H108" s="40"/>
      <c r="I108" s="40"/>
    </row>
    <row r="109" spans="4:9" x14ac:dyDescent="0.3">
      <c r="D109" s="34"/>
      <c r="E109" s="34"/>
      <c r="F109" s="210" t="s">
        <v>22</v>
      </c>
      <c r="G109" s="34"/>
      <c r="H109" s="40"/>
      <c r="I109" s="40"/>
    </row>
    <row r="110" spans="4:9" x14ac:dyDescent="0.3">
      <c r="D110" s="34"/>
      <c r="E110" s="34"/>
      <c r="F110" s="210" t="s">
        <v>316</v>
      </c>
      <c r="G110" s="34"/>
      <c r="H110" s="40"/>
      <c r="I110" s="40"/>
    </row>
    <row r="111" spans="4:9" x14ac:dyDescent="0.3">
      <c r="D111" s="34"/>
      <c r="E111" s="34"/>
      <c r="F111" s="210" t="s">
        <v>317</v>
      </c>
      <c r="G111" s="34"/>
      <c r="H111" s="40"/>
      <c r="I111" s="40"/>
    </row>
    <row r="112" spans="4:9" x14ac:dyDescent="0.3">
      <c r="D112" s="34"/>
      <c r="E112" s="34"/>
      <c r="F112" s="210" t="s">
        <v>318</v>
      </c>
      <c r="G112" s="34"/>
      <c r="H112" s="40"/>
      <c r="I112" s="40"/>
    </row>
    <row r="113" spans="4:10" x14ac:dyDescent="0.3">
      <c r="D113" s="34"/>
      <c r="E113" s="34"/>
      <c r="F113" s="210" t="s">
        <v>319</v>
      </c>
      <c r="G113" s="34"/>
      <c r="H113" s="40"/>
      <c r="I113" s="40"/>
    </row>
    <row r="114" spans="4:10" x14ac:dyDescent="0.3">
      <c r="D114" s="32"/>
      <c r="E114" s="32"/>
      <c r="F114" s="211" t="s">
        <v>320</v>
      </c>
      <c r="G114" s="32"/>
      <c r="H114" s="39"/>
      <c r="I114" s="39"/>
    </row>
    <row r="116" spans="4:10" x14ac:dyDescent="0.3">
      <c r="D116" s="11" t="s">
        <v>1751</v>
      </c>
    </row>
    <row r="117" spans="4:10" x14ac:dyDescent="0.3">
      <c r="D117" s="216" t="s">
        <v>600</v>
      </c>
      <c r="E117" s="216" t="s">
        <v>843</v>
      </c>
      <c r="F117" s="216" t="s">
        <v>844</v>
      </c>
      <c r="G117" s="216" t="s">
        <v>1750</v>
      </c>
      <c r="H117" s="216" t="s">
        <v>846</v>
      </c>
      <c r="I117" s="216" t="s">
        <v>847</v>
      </c>
      <c r="J117" s="216" t="s">
        <v>1752</v>
      </c>
    </row>
    <row r="118" spans="4:10" x14ac:dyDescent="0.3">
      <c r="D118" s="11" t="s">
        <v>48</v>
      </c>
      <c r="E118" s="67">
        <v>0.3</v>
      </c>
      <c r="F118" s="340">
        <v>0.3</v>
      </c>
      <c r="G118" s="616">
        <v>1.55E-2</v>
      </c>
      <c r="H118" s="67">
        <v>7.1900000000000006E-2</v>
      </c>
      <c r="I118" s="67">
        <v>5.67E-2</v>
      </c>
      <c r="J118" s="339">
        <v>1</v>
      </c>
    </row>
    <row r="119" spans="4:10" x14ac:dyDescent="0.3">
      <c r="D119" s="11" t="s">
        <v>173</v>
      </c>
      <c r="E119" s="67">
        <v>0.45</v>
      </c>
      <c r="F119" s="340">
        <v>0.3</v>
      </c>
      <c r="G119" s="616">
        <v>1.55E-2</v>
      </c>
      <c r="H119" s="67">
        <v>7.1900000000000006E-2</v>
      </c>
      <c r="I119" s="67">
        <v>5.67E-2</v>
      </c>
      <c r="J119" s="339">
        <v>1</v>
      </c>
    </row>
    <row r="120" spans="4:10" x14ac:dyDescent="0.3">
      <c r="D120" s="11" t="s">
        <v>91</v>
      </c>
      <c r="E120" s="67">
        <v>0.56999999999999995</v>
      </c>
      <c r="F120" s="340">
        <v>0.3</v>
      </c>
      <c r="G120" s="616">
        <v>1.55E-2</v>
      </c>
      <c r="H120" s="67">
        <v>7.1900000000000006E-2</v>
      </c>
      <c r="I120" s="67">
        <v>5.67E-2</v>
      </c>
      <c r="J120" s="339">
        <v>1</v>
      </c>
    </row>
    <row r="121" spans="4:10" x14ac:dyDescent="0.3">
      <c r="D121" s="11" t="s">
        <v>92</v>
      </c>
      <c r="E121" s="67">
        <v>0.56999999999999995</v>
      </c>
      <c r="F121" s="340">
        <v>0.3</v>
      </c>
      <c r="G121" s="616">
        <v>1.55E-2</v>
      </c>
      <c r="H121" s="67">
        <v>7.1900000000000006E-2</v>
      </c>
      <c r="I121" s="67">
        <v>5.67E-2</v>
      </c>
      <c r="J121" s="339">
        <v>1</v>
      </c>
    </row>
    <row r="122" spans="4:10" x14ac:dyDescent="0.3">
      <c r="D122" s="11" t="s">
        <v>928</v>
      </c>
      <c r="E122" s="67">
        <v>0.45</v>
      </c>
      <c r="F122" s="340">
        <v>0.3</v>
      </c>
      <c r="G122" s="616">
        <v>1.55E-2</v>
      </c>
      <c r="H122" s="67">
        <v>7.1900000000000006E-2</v>
      </c>
      <c r="I122" s="67">
        <v>5.67E-2</v>
      </c>
      <c r="J122" s="339">
        <v>1</v>
      </c>
    </row>
    <row r="123" spans="4:10" x14ac:dyDescent="0.3">
      <c r="D123" s="11" t="s">
        <v>563</v>
      </c>
      <c r="E123" s="67">
        <v>0.45</v>
      </c>
      <c r="F123" s="340">
        <v>0.3</v>
      </c>
      <c r="G123" s="616">
        <v>1.55E-2</v>
      </c>
      <c r="H123" s="67">
        <v>7.1900000000000006E-2</v>
      </c>
      <c r="I123" s="67">
        <v>5.67E-2</v>
      </c>
      <c r="J123" s="339">
        <v>1</v>
      </c>
    </row>
    <row r="124" spans="4:10" x14ac:dyDescent="0.3">
      <c r="D124" s="11" t="s">
        <v>95</v>
      </c>
      <c r="E124" s="67">
        <v>0.56999999999999995</v>
      </c>
      <c r="F124" s="340">
        <v>0.3</v>
      </c>
      <c r="G124" s="616">
        <v>1.55E-2</v>
      </c>
      <c r="H124" s="67">
        <v>7.1900000000000006E-2</v>
      </c>
      <c r="I124" s="67">
        <v>5.67E-2</v>
      </c>
      <c r="J124" s="339">
        <v>1</v>
      </c>
    </row>
    <row r="125" spans="4:10" x14ac:dyDescent="0.3">
      <c r="D125" s="11" t="s">
        <v>97</v>
      </c>
      <c r="E125" s="67">
        <v>0.45</v>
      </c>
      <c r="F125" s="340">
        <v>0.3</v>
      </c>
      <c r="G125" s="616">
        <v>1.55E-2</v>
      </c>
      <c r="H125" s="67">
        <v>7.1900000000000006E-2</v>
      </c>
      <c r="I125" s="67">
        <v>5.67E-2</v>
      </c>
      <c r="J125" s="339">
        <v>1</v>
      </c>
    </row>
    <row r="126" spans="4:10" x14ac:dyDescent="0.3">
      <c r="D126" s="11" t="s">
        <v>562</v>
      </c>
      <c r="E126" s="67">
        <v>0.56999999999999995</v>
      </c>
      <c r="F126" s="340">
        <v>0.3</v>
      </c>
      <c r="G126" s="616">
        <v>1.55E-2</v>
      </c>
      <c r="H126" s="67">
        <v>7.1900000000000006E-2</v>
      </c>
      <c r="I126" s="67">
        <v>5.67E-2</v>
      </c>
      <c r="J126" s="339">
        <v>1</v>
      </c>
    </row>
    <row r="127" spans="4:10" x14ac:dyDescent="0.3">
      <c r="D127" s="11" t="s">
        <v>929</v>
      </c>
      <c r="E127" s="67">
        <v>0.45</v>
      </c>
      <c r="F127" s="340">
        <v>0.3</v>
      </c>
      <c r="G127" s="616">
        <v>1.55E-2</v>
      </c>
      <c r="H127" s="67">
        <v>7.1900000000000006E-2</v>
      </c>
      <c r="I127" s="67">
        <v>5.67E-2</v>
      </c>
      <c r="J127" s="339">
        <v>1</v>
      </c>
    </row>
    <row r="128" spans="4:10" x14ac:dyDescent="0.3">
      <c r="D128" s="11" t="s">
        <v>874</v>
      </c>
      <c r="E128" s="67">
        <v>0.56999999999999995</v>
      </c>
      <c r="F128" s="340">
        <v>0.3</v>
      </c>
      <c r="G128" s="616">
        <v>1.55E-2</v>
      </c>
      <c r="H128" s="67">
        <v>7.1900000000000006E-2</v>
      </c>
      <c r="I128" s="67">
        <v>5.67E-2</v>
      </c>
      <c r="J128" s="339">
        <v>1</v>
      </c>
    </row>
    <row r="129" spans="4:10" x14ac:dyDescent="0.3">
      <c r="D129" s="11" t="s">
        <v>873</v>
      </c>
      <c r="E129" s="67">
        <v>0.45</v>
      </c>
      <c r="F129" s="340">
        <v>0.3</v>
      </c>
      <c r="G129" s="616">
        <v>1.55E-2</v>
      </c>
      <c r="H129" s="67">
        <v>7.1900000000000006E-2</v>
      </c>
      <c r="I129" s="67">
        <v>5.67E-2</v>
      </c>
      <c r="J129" s="339">
        <v>1</v>
      </c>
    </row>
    <row r="130" spans="4:10" x14ac:dyDescent="0.3">
      <c r="D130" s="11" t="s">
        <v>1376</v>
      </c>
      <c r="E130" s="67">
        <v>0.45</v>
      </c>
      <c r="F130" s="67">
        <v>0.3</v>
      </c>
      <c r="G130" s="67">
        <v>1.55E-2</v>
      </c>
      <c r="H130" s="67">
        <v>7.1900000000000006E-2</v>
      </c>
      <c r="I130" s="67">
        <v>5.67E-2</v>
      </c>
      <c r="J130" s="339">
        <v>1</v>
      </c>
    </row>
    <row r="131" spans="4:10" x14ac:dyDescent="0.3">
      <c r="D131" s="11" t="s">
        <v>1375</v>
      </c>
      <c r="E131" s="67">
        <v>0.45</v>
      </c>
      <c r="F131" s="67">
        <v>0.3</v>
      </c>
      <c r="G131" s="67">
        <v>1.55E-2</v>
      </c>
      <c r="H131" s="67">
        <v>7.1900000000000006E-2</v>
      </c>
      <c r="I131" s="67">
        <v>5.67E-2</v>
      </c>
      <c r="J131" s="339">
        <v>1</v>
      </c>
    </row>
    <row r="132" spans="4:10" x14ac:dyDescent="0.3">
      <c r="D132" s="11" t="s">
        <v>1902</v>
      </c>
      <c r="E132" s="67">
        <v>0.45</v>
      </c>
      <c r="F132" s="67">
        <v>0.3</v>
      </c>
      <c r="G132" s="67">
        <v>1.55E-2</v>
      </c>
      <c r="H132" s="67">
        <v>7.1900000000000006E-2</v>
      </c>
      <c r="I132" s="67">
        <v>5.67E-2</v>
      </c>
      <c r="J132" s="339">
        <v>1</v>
      </c>
    </row>
    <row r="133" spans="4:10" x14ac:dyDescent="0.3">
      <c r="D133" s="11" t="s">
        <v>1421</v>
      </c>
      <c r="E133" s="67">
        <v>0</v>
      </c>
      <c r="F133" s="615">
        <v>0</v>
      </c>
      <c r="G133" s="67">
        <v>0</v>
      </c>
      <c r="H133" s="67">
        <v>0</v>
      </c>
      <c r="I133" s="67">
        <v>0</v>
      </c>
      <c r="J133" s="339">
        <v>0</v>
      </c>
    </row>
    <row r="135" spans="4:10" x14ac:dyDescent="0.3">
      <c r="D135" s="513" t="s">
        <v>1321</v>
      </c>
      <c r="E135" s="514" t="s">
        <v>1309</v>
      </c>
      <c r="F135" s="514" t="s">
        <v>1851</v>
      </c>
      <c r="G135" s="11">
        <v>2204.6</v>
      </c>
    </row>
    <row r="136" spans="4:10" x14ac:dyDescent="0.3">
      <c r="D136" s="45" t="s">
        <v>1322</v>
      </c>
      <c r="E136" s="516">
        <v>0.8</v>
      </c>
      <c r="F136" s="589">
        <v>117.13039799999999</v>
      </c>
      <c r="G136" s="11">
        <f>F136/$G$135</f>
        <v>5.3129999999999997E-2</v>
      </c>
    </row>
    <row r="137" spans="4:10" x14ac:dyDescent="0.3">
      <c r="D137" s="520" t="s">
        <v>1323</v>
      </c>
      <c r="E137" s="516">
        <v>0.82</v>
      </c>
      <c r="F137" s="589">
        <v>163.05221599999999</v>
      </c>
      <c r="G137" s="11">
        <f>F137/$G$135</f>
        <v>7.3959999999999998E-2</v>
      </c>
    </row>
    <row r="138" spans="4:10" x14ac:dyDescent="0.3">
      <c r="D138" s="520" t="s">
        <v>1715</v>
      </c>
      <c r="E138" s="516">
        <v>0.8</v>
      </c>
      <c r="F138" s="589">
        <v>135.78131399999998</v>
      </c>
      <c r="G138" s="11">
        <f>F139/$G$135</f>
        <v>5.3129999999999997E-2</v>
      </c>
    </row>
    <row r="139" spans="4:10" x14ac:dyDescent="0.3">
      <c r="D139" s="769" t="s">
        <v>2229</v>
      </c>
      <c r="E139" s="516">
        <v>0.8</v>
      </c>
      <c r="F139" s="589">
        <v>117.13039799999999</v>
      </c>
    </row>
    <row r="140" spans="4:10" x14ac:dyDescent="0.3">
      <c r="D140" s="520" t="s">
        <v>1671</v>
      </c>
      <c r="E140" s="515"/>
      <c r="F140" s="515">
        <v>1.1962000000000002</v>
      </c>
      <c r="G140" s="11" t="s">
        <v>1672</v>
      </c>
    </row>
    <row r="141" spans="4:10" x14ac:dyDescent="0.3">
      <c r="D141" s="520" t="s">
        <v>1954</v>
      </c>
      <c r="E141" s="515"/>
      <c r="F141" s="515">
        <v>1.1962000000000002</v>
      </c>
    </row>
    <row r="142" spans="4:10" x14ac:dyDescent="0.3">
      <c r="D142" s="772" t="s">
        <v>2233</v>
      </c>
      <c r="E142" s="515" t="s">
        <v>353</v>
      </c>
      <c r="F142" s="515">
        <v>1.1962000000000002</v>
      </c>
    </row>
    <row r="143" spans="4:10" x14ac:dyDescent="0.3">
      <c r="D143" s="45"/>
      <c r="E143" s="515" t="s">
        <v>353</v>
      </c>
      <c r="F143" s="515"/>
    </row>
    <row r="144" spans="4:10" x14ac:dyDescent="0.3">
      <c r="D144" s="45"/>
      <c r="E144" s="515"/>
      <c r="F144" s="515"/>
    </row>
    <row r="146" spans="4:11" x14ac:dyDescent="0.3">
      <c r="D146" s="44" t="s">
        <v>1996</v>
      </c>
    </row>
    <row r="147" spans="4:11" x14ac:dyDescent="0.3">
      <c r="D147" s="11" t="s">
        <v>2001</v>
      </c>
    </row>
    <row r="148" spans="4:11" x14ac:dyDescent="0.3">
      <c r="D148" s="518" t="s">
        <v>2003</v>
      </c>
      <c r="E148" s="217" t="s">
        <v>2004</v>
      </c>
      <c r="F148" s="518" t="s">
        <v>2005</v>
      </c>
      <c r="G148" s="217" t="s">
        <v>1999</v>
      </c>
      <c r="H148" s="217" t="s">
        <v>2016</v>
      </c>
      <c r="I148" s="217" t="s">
        <v>24</v>
      </c>
    </row>
    <row r="149" spans="4:11" x14ac:dyDescent="0.3">
      <c r="D149" s="269" t="s">
        <v>91</v>
      </c>
      <c r="E149" s="269" t="s">
        <v>1276</v>
      </c>
      <c r="F149" s="45" t="s">
        <v>1977</v>
      </c>
      <c r="G149" s="269" t="s">
        <v>2007</v>
      </c>
      <c r="H149" s="45" t="s">
        <v>1978</v>
      </c>
      <c r="I149" s="269" t="s">
        <v>90</v>
      </c>
    </row>
    <row r="150" spans="4:11" x14ac:dyDescent="0.3">
      <c r="D150" s="269" t="s">
        <v>2033</v>
      </c>
      <c r="E150" s="269" t="s">
        <v>1277</v>
      </c>
      <c r="F150" s="45" t="s">
        <v>2006</v>
      </c>
      <c r="G150" s="269" t="s">
        <v>2008</v>
      </c>
      <c r="H150" s="45" t="s">
        <v>1588</v>
      </c>
      <c r="I150" s="269" t="s">
        <v>98</v>
      </c>
    </row>
    <row r="151" spans="4:11" x14ac:dyDescent="0.3">
      <c r="D151" s="269" t="s">
        <v>2002</v>
      </c>
      <c r="E151" s="269" t="s">
        <v>1278</v>
      </c>
      <c r="G151" s="269" t="s">
        <v>2009</v>
      </c>
      <c r="I151" s="269" t="s">
        <v>93</v>
      </c>
    </row>
    <row r="152" spans="4:11" x14ac:dyDescent="0.3">
      <c r="E152" s="269" t="s">
        <v>1279</v>
      </c>
      <c r="G152" s="269" t="s">
        <v>2010</v>
      </c>
      <c r="I152" s="269" t="s">
        <v>94</v>
      </c>
    </row>
    <row r="153" spans="4:11" ht="14.5" x14ac:dyDescent="0.35">
      <c r="E153" s="269" t="s">
        <v>180</v>
      </c>
      <c r="G153" s="269" t="s">
        <v>2011</v>
      </c>
      <c r="I153"/>
    </row>
    <row r="154" spans="4:11" x14ac:dyDescent="0.3">
      <c r="E154" s="269" t="s">
        <v>44</v>
      </c>
      <c r="G154" s="269" t="s">
        <v>2012</v>
      </c>
    </row>
    <row r="155" spans="4:11" x14ac:dyDescent="0.3">
      <c r="G155" s="269" t="s">
        <v>2013</v>
      </c>
    </row>
    <row r="156" spans="4:11" x14ac:dyDescent="0.3">
      <c r="G156" s="269" t="s">
        <v>2014</v>
      </c>
    </row>
    <row r="157" spans="4:11" x14ac:dyDescent="0.3">
      <c r="G157" s="269" t="s">
        <v>2015</v>
      </c>
    </row>
    <row r="158" spans="4:11" x14ac:dyDescent="0.3">
      <c r="D158" s="44" t="s">
        <v>2333</v>
      </c>
    </row>
    <row r="159" spans="4:11" x14ac:dyDescent="0.3">
      <c r="D159" s="269" t="s">
        <v>2022</v>
      </c>
      <c r="E159" s="681">
        <v>30.86</v>
      </c>
      <c r="F159" s="11" t="s">
        <v>2028</v>
      </c>
      <c r="G159" s="11" t="s">
        <v>2081</v>
      </c>
    </row>
    <row r="160" spans="4:11" x14ac:dyDescent="0.3">
      <c r="D160" s="269" t="s">
        <v>2023</v>
      </c>
      <c r="E160" s="681">
        <v>25.3</v>
      </c>
      <c r="F160" s="11" t="s">
        <v>2028</v>
      </c>
      <c r="G160" s="976" t="s">
        <v>865</v>
      </c>
      <c r="H160" s="976">
        <v>4988</v>
      </c>
      <c r="J160" s="217" t="s">
        <v>2103</v>
      </c>
      <c r="K160" s="698" t="s">
        <v>2302</v>
      </c>
    </row>
    <row r="161" spans="4:11" x14ac:dyDescent="0.3">
      <c r="D161" s="269" t="s">
        <v>2024</v>
      </c>
      <c r="E161" s="681">
        <v>70</v>
      </c>
      <c r="F161" s="11" t="s">
        <v>2029</v>
      </c>
      <c r="G161" s="269" t="s">
        <v>2082</v>
      </c>
      <c r="H161" s="269">
        <v>15</v>
      </c>
      <c r="I161" s="11" t="s">
        <v>2083</v>
      </c>
      <c r="J161" s="269" t="s">
        <v>2017</v>
      </c>
      <c r="K161" s="700">
        <v>10.5</v>
      </c>
    </row>
    <row r="162" spans="4:11" x14ac:dyDescent="0.3">
      <c r="D162" s="269" t="s">
        <v>2027</v>
      </c>
      <c r="E162" s="974">
        <v>53.2</v>
      </c>
      <c r="F162" s="11" t="s">
        <v>2029</v>
      </c>
      <c r="G162" s="269" t="s">
        <v>2077</v>
      </c>
      <c r="H162" s="269">
        <v>0.8</v>
      </c>
      <c r="I162" s="11" t="s">
        <v>2077</v>
      </c>
      <c r="J162" s="269" t="s">
        <v>2018</v>
      </c>
      <c r="K162" s="700">
        <v>12.9</v>
      </c>
    </row>
    <row r="163" spans="4:11" x14ac:dyDescent="0.3">
      <c r="D163" s="269" t="s">
        <v>2074</v>
      </c>
      <c r="E163" s="681">
        <v>73.69</v>
      </c>
      <c r="F163" s="11" t="s">
        <v>2029</v>
      </c>
      <c r="G163" s="269" t="s">
        <v>1998</v>
      </c>
      <c r="H163" s="269">
        <v>5</v>
      </c>
      <c r="I163" s="11" t="s">
        <v>2083</v>
      </c>
      <c r="J163" s="269" t="s">
        <v>2019</v>
      </c>
      <c r="K163" s="700">
        <v>19.8</v>
      </c>
    </row>
    <row r="164" spans="4:11" x14ac:dyDescent="0.3">
      <c r="D164" s="269" t="s">
        <v>2075</v>
      </c>
      <c r="E164" s="681">
        <v>70</v>
      </c>
      <c r="F164" s="11" t="s">
        <v>2029</v>
      </c>
      <c r="G164" s="269" t="s">
        <v>2064</v>
      </c>
      <c r="H164" s="269">
        <v>1000</v>
      </c>
      <c r="J164" s="269" t="s">
        <v>2303</v>
      </c>
      <c r="K164" s="700">
        <v>20.8</v>
      </c>
    </row>
    <row r="165" spans="4:11" x14ac:dyDescent="0.3">
      <c r="D165" s="269" t="s">
        <v>2025</v>
      </c>
      <c r="E165" s="682">
        <v>0.67</v>
      </c>
      <c r="J165" s="269" t="s">
        <v>2311</v>
      </c>
      <c r="K165" s="700">
        <f>AVERAGE(K161:K164)</f>
        <v>16</v>
      </c>
    </row>
    <row r="166" spans="4:11" x14ac:dyDescent="0.3">
      <c r="D166" s="269" t="s">
        <v>2026</v>
      </c>
      <c r="E166" s="682">
        <v>0.7</v>
      </c>
    </row>
    <row r="167" spans="4:11" ht="15" x14ac:dyDescent="0.4">
      <c r="D167" s="269" t="s">
        <v>2077</v>
      </c>
      <c r="E167" s="692">
        <v>0.8</v>
      </c>
      <c r="J167" s="217" t="s">
        <v>2308</v>
      </c>
      <c r="K167" s="698" t="s">
        <v>2310</v>
      </c>
    </row>
    <row r="168" spans="4:11" x14ac:dyDescent="0.3">
      <c r="G168" s="978" t="s">
        <v>2297</v>
      </c>
      <c r="J168" s="269" t="s">
        <v>2306</v>
      </c>
      <c r="K168" s="700">
        <v>0.75</v>
      </c>
    </row>
    <row r="169" spans="4:11" x14ac:dyDescent="0.3">
      <c r="D169" s="11" t="s">
        <v>2030</v>
      </c>
      <c r="G169" s="217" t="s">
        <v>2089</v>
      </c>
      <c r="H169" s="698" t="s">
        <v>762</v>
      </c>
      <c r="I169" s="698" t="s">
        <v>763</v>
      </c>
      <c r="J169" s="269" t="s">
        <v>2309</v>
      </c>
      <c r="K169" s="700">
        <v>1</v>
      </c>
    </row>
    <row r="170" spans="4:11" x14ac:dyDescent="0.3">
      <c r="D170" s="217" t="s">
        <v>24</v>
      </c>
      <c r="E170" s="217" t="s">
        <v>2031</v>
      </c>
      <c r="G170" s="976" t="s">
        <v>2090</v>
      </c>
      <c r="H170" s="977">
        <v>2684</v>
      </c>
      <c r="I170" s="977">
        <v>5920</v>
      </c>
    </row>
    <row r="171" spans="4:11" x14ac:dyDescent="0.3">
      <c r="D171" s="269" t="s">
        <v>90</v>
      </c>
      <c r="E171" s="683">
        <v>14</v>
      </c>
      <c r="F171" s="11" t="s">
        <v>26</v>
      </c>
      <c r="G171" s="976" t="s">
        <v>2091</v>
      </c>
      <c r="H171" s="977">
        <v>2152</v>
      </c>
      <c r="I171" s="977">
        <v>4303</v>
      </c>
    </row>
    <row r="172" spans="4:11" x14ac:dyDescent="0.3">
      <c r="D172" s="269" t="s">
        <v>98</v>
      </c>
      <c r="E172" s="683">
        <v>12.7</v>
      </c>
      <c r="F172" s="11" t="s">
        <v>925</v>
      </c>
      <c r="G172" s="976" t="s">
        <v>2092</v>
      </c>
      <c r="H172" s="977">
        <v>1946</v>
      </c>
      <c r="I172" s="977">
        <v>3796</v>
      </c>
    </row>
    <row r="173" spans="4:11" x14ac:dyDescent="0.3">
      <c r="D173" s="269" t="s">
        <v>93</v>
      </c>
      <c r="E173" s="683">
        <v>12.2</v>
      </c>
      <c r="F173" s="11" t="s">
        <v>925</v>
      </c>
      <c r="G173" s="976" t="s">
        <v>2093</v>
      </c>
      <c r="H173" s="977">
        <v>1220</v>
      </c>
      <c r="I173" s="977">
        <v>2204</v>
      </c>
    </row>
    <row r="174" spans="4:11" x14ac:dyDescent="0.3">
      <c r="D174" s="269" t="s">
        <v>94</v>
      </c>
      <c r="E174" s="683">
        <v>11.4</v>
      </c>
      <c r="F174" s="11" t="s">
        <v>925</v>
      </c>
      <c r="G174" s="976" t="s">
        <v>2094</v>
      </c>
      <c r="H174" s="977">
        <v>1081</v>
      </c>
      <c r="I174" s="977">
        <v>1984</v>
      </c>
    </row>
    <row r="175" spans="4:11" x14ac:dyDescent="0.3">
      <c r="G175" s="976" t="s">
        <v>2095</v>
      </c>
      <c r="H175" s="977">
        <v>890</v>
      </c>
      <c r="I175" s="977">
        <v>1663</v>
      </c>
    </row>
    <row r="176" spans="4:11" x14ac:dyDescent="0.3">
      <c r="D176" s="11" t="s">
        <v>2032</v>
      </c>
      <c r="G176" s="976" t="s">
        <v>180</v>
      </c>
      <c r="H176" s="977">
        <f>ROUND(AVERAGE(H170:H175),0)</f>
        <v>1662</v>
      </c>
      <c r="I176" s="977">
        <f>ROUND(AVERAGE(I170:I175),0)</f>
        <v>3312</v>
      </c>
      <c r="J176" s="11" t="s">
        <v>2097</v>
      </c>
    </row>
    <row r="177" spans="4:6" x14ac:dyDescent="0.3">
      <c r="D177" s="217" t="s">
        <v>24</v>
      </c>
      <c r="E177" s="217" t="s">
        <v>2031</v>
      </c>
    </row>
    <row r="178" spans="4:6" x14ac:dyDescent="0.3">
      <c r="D178" s="269" t="s">
        <v>90</v>
      </c>
      <c r="E178" s="683">
        <v>12.3</v>
      </c>
      <c r="F178" s="11" t="s">
        <v>26</v>
      </c>
    </row>
    <row r="179" spans="4:6" x14ac:dyDescent="0.3">
      <c r="D179" s="269" t="s">
        <v>98</v>
      </c>
      <c r="E179" s="683">
        <v>13.7</v>
      </c>
      <c r="F179" s="11" t="s">
        <v>925</v>
      </c>
    </row>
    <row r="180" spans="4:6" x14ac:dyDescent="0.3">
      <c r="D180" s="269" t="s">
        <v>93</v>
      </c>
      <c r="E180" s="683">
        <v>13.7</v>
      </c>
      <c r="F180" s="11" t="s">
        <v>925</v>
      </c>
    </row>
    <row r="181" spans="4:6" x14ac:dyDescent="0.3">
      <c r="D181" s="269" t="s">
        <v>94</v>
      </c>
      <c r="E181" s="683">
        <v>13.4</v>
      </c>
      <c r="F181" s="11" t="s">
        <v>925</v>
      </c>
    </row>
    <row r="183" spans="4:6" x14ac:dyDescent="0.3">
      <c r="D183" s="217" t="s">
        <v>2034</v>
      </c>
      <c r="E183" s="217" t="s">
        <v>2035</v>
      </c>
    </row>
    <row r="184" spans="4:6" x14ac:dyDescent="0.3">
      <c r="D184" s="45" t="s">
        <v>1322</v>
      </c>
      <c r="E184" s="682">
        <v>0.8</v>
      </c>
    </row>
    <row r="185" spans="4:6" x14ac:dyDescent="0.3">
      <c r="D185" s="520" t="s">
        <v>1323</v>
      </c>
      <c r="E185" s="682">
        <v>0.82</v>
      </c>
    </row>
    <row r="186" spans="4:6" x14ac:dyDescent="0.3">
      <c r="D186" s="520" t="s">
        <v>1715</v>
      </c>
      <c r="E186" s="682">
        <v>0.8</v>
      </c>
    </row>
    <row r="187" spans="4:6" x14ac:dyDescent="0.3">
      <c r="D187" s="520" t="s">
        <v>1671</v>
      </c>
      <c r="E187" s="681">
        <v>3.4119999999999999</v>
      </c>
      <c r="F187" s="11" t="s">
        <v>101</v>
      </c>
    </row>
    <row r="189" spans="4:6" x14ac:dyDescent="0.3">
      <c r="D189" s="518" t="s">
        <v>2003</v>
      </c>
      <c r="E189" s="518" t="s">
        <v>2055</v>
      </c>
    </row>
    <row r="190" spans="4:6" x14ac:dyDescent="0.3">
      <c r="D190" s="269" t="s">
        <v>2044</v>
      </c>
      <c r="E190" s="683">
        <v>14</v>
      </c>
    </row>
    <row r="191" spans="4:6" x14ac:dyDescent="0.3">
      <c r="D191" s="269" t="s">
        <v>2043</v>
      </c>
      <c r="E191" s="683">
        <v>12.7</v>
      </c>
    </row>
    <row r="192" spans="4:6" x14ac:dyDescent="0.3">
      <c r="D192" s="269" t="s">
        <v>2045</v>
      </c>
      <c r="E192" s="683">
        <v>12.2</v>
      </c>
    </row>
    <row r="193" spans="4:5" x14ac:dyDescent="0.3">
      <c r="D193" s="269" t="s">
        <v>2046</v>
      </c>
      <c r="E193" s="683">
        <v>11.4</v>
      </c>
    </row>
    <row r="194" spans="4:5" x14ac:dyDescent="0.3">
      <c r="D194" s="269" t="s">
        <v>2047</v>
      </c>
      <c r="E194" s="683">
        <v>12.3</v>
      </c>
    </row>
    <row r="195" spans="4:5" x14ac:dyDescent="0.3">
      <c r="D195" s="269" t="s">
        <v>2048</v>
      </c>
      <c r="E195" s="683">
        <v>13.7</v>
      </c>
    </row>
    <row r="196" spans="4:5" x14ac:dyDescent="0.3">
      <c r="D196" s="269" t="s">
        <v>2049</v>
      </c>
      <c r="E196" s="683">
        <v>13.7</v>
      </c>
    </row>
    <row r="197" spans="4:5" x14ac:dyDescent="0.3">
      <c r="D197" s="269" t="s">
        <v>2050</v>
      </c>
      <c r="E197" s="683">
        <v>13.4</v>
      </c>
    </row>
    <row r="198" spans="4:5" x14ac:dyDescent="0.3">
      <c r="D198" s="269" t="s">
        <v>2051</v>
      </c>
      <c r="E198" s="683">
        <v>14</v>
      </c>
    </row>
    <row r="199" spans="4:5" x14ac:dyDescent="0.3">
      <c r="D199" s="269" t="s">
        <v>2052</v>
      </c>
      <c r="E199" s="683">
        <v>12.7</v>
      </c>
    </row>
    <row r="200" spans="4:5" x14ac:dyDescent="0.3">
      <c r="D200" s="269" t="s">
        <v>2053</v>
      </c>
      <c r="E200" s="683">
        <v>12.2</v>
      </c>
    </row>
    <row r="201" spans="4:5" x14ac:dyDescent="0.3">
      <c r="D201" s="269" t="s">
        <v>2054</v>
      </c>
      <c r="E201" s="683">
        <v>11.4</v>
      </c>
    </row>
    <row r="203" spans="4:5" x14ac:dyDescent="0.3">
      <c r="D203" s="11" t="s">
        <v>2057</v>
      </c>
    </row>
    <row r="204" spans="4:5" x14ac:dyDescent="0.3">
      <c r="D204" s="683">
        <v>4.5</v>
      </c>
      <c r="E204" s="269" t="s">
        <v>2058</v>
      </c>
    </row>
    <row r="205" spans="4:5" x14ac:dyDescent="0.3">
      <c r="D205" s="683">
        <v>1.08</v>
      </c>
      <c r="E205" s="269" t="s">
        <v>2059</v>
      </c>
    </row>
    <row r="206" spans="4:5" x14ac:dyDescent="0.3">
      <c r="D206" s="688">
        <v>1000000</v>
      </c>
      <c r="E206" s="269" t="s">
        <v>2060</v>
      </c>
    </row>
    <row r="207" spans="4:5" x14ac:dyDescent="0.3">
      <c r="D207" s="688">
        <v>33013</v>
      </c>
      <c r="E207" s="269" t="s">
        <v>2061</v>
      </c>
    </row>
    <row r="208" spans="4:5" x14ac:dyDescent="0.3">
      <c r="D208" s="683">
        <v>5.202</v>
      </c>
      <c r="E208" s="269" t="s">
        <v>2062</v>
      </c>
    </row>
    <row r="209" spans="4:6" x14ac:dyDescent="0.3">
      <c r="D209" s="683">
        <v>0.746</v>
      </c>
      <c r="E209" s="269" t="s">
        <v>2063</v>
      </c>
    </row>
    <row r="210" spans="4:6" x14ac:dyDescent="0.3">
      <c r="D210" s="683">
        <v>1000</v>
      </c>
      <c r="E210" s="269" t="s">
        <v>2064</v>
      </c>
    </row>
    <row r="212" spans="4:6" x14ac:dyDescent="0.3">
      <c r="D212" s="11" t="s">
        <v>38</v>
      </c>
    </row>
    <row r="213" spans="4:6" x14ac:dyDescent="0.3">
      <c r="D213" s="269" t="s">
        <v>2078</v>
      </c>
      <c r="E213" s="694">
        <v>70</v>
      </c>
      <c r="F213" s="11" t="s">
        <v>2080</v>
      </c>
    </row>
    <row r="214" spans="4:6" x14ac:dyDescent="0.3">
      <c r="D214" s="269" t="s">
        <v>2079</v>
      </c>
      <c r="E214" s="694">
        <v>60</v>
      </c>
      <c r="F214" s="11" t="s">
        <v>2080</v>
      </c>
    </row>
    <row r="216" spans="4:6" x14ac:dyDescent="0.3">
      <c r="D216" s="11" t="s">
        <v>38</v>
      </c>
    </row>
    <row r="217" spans="4:6" x14ac:dyDescent="0.3">
      <c r="D217" s="217" t="s">
        <v>1999</v>
      </c>
      <c r="E217" s="217" t="s">
        <v>2098</v>
      </c>
      <c r="F217" s="217" t="s">
        <v>2101</v>
      </c>
    </row>
    <row r="218" spans="4:6" x14ac:dyDescent="0.3">
      <c r="D218" s="269" t="s">
        <v>2007</v>
      </c>
      <c r="E218" s="269">
        <f>16*50</f>
        <v>800</v>
      </c>
      <c r="F218" s="269">
        <v>16</v>
      </c>
    </row>
    <row r="219" spans="4:6" x14ac:dyDescent="0.3">
      <c r="D219" s="269" t="s">
        <v>2008</v>
      </c>
      <c r="E219" s="269">
        <f>17*50</f>
        <v>850</v>
      </c>
      <c r="F219" s="269">
        <v>17</v>
      </c>
    </row>
    <row r="220" spans="4:6" x14ac:dyDescent="0.3">
      <c r="D220" s="269" t="s">
        <v>2009</v>
      </c>
      <c r="E220" s="269">
        <f>18*50</f>
        <v>900</v>
      </c>
      <c r="F220" s="269">
        <v>18</v>
      </c>
    </row>
    <row r="221" spans="4:6" x14ac:dyDescent="0.3">
      <c r="D221" s="269" t="s">
        <v>2010</v>
      </c>
      <c r="E221" s="269">
        <f>19*50</f>
        <v>950</v>
      </c>
      <c r="F221" s="269">
        <v>19</v>
      </c>
    </row>
    <row r="222" spans="4:6" x14ac:dyDescent="0.3">
      <c r="D222" s="269" t="s">
        <v>2011</v>
      </c>
      <c r="E222" s="269">
        <f>20*50</f>
        <v>1000</v>
      </c>
      <c r="F222" s="269">
        <v>20</v>
      </c>
    </row>
    <row r="223" spans="4:6" x14ac:dyDescent="0.3">
      <c r="D223" s="269" t="s">
        <v>2012</v>
      </c>
      <c r="E223" s="269">
        <f>21*50</f>
        <v>1050</v>
      </c>
      <c r="F223" s="269">
        <v>21</v>
      </c>
    </row>
    <row r="224" spans="4:6" x14ac:dyDescent="0.3">
      <c r="D224" s="269" t="s">
        <v>2013</v>
      </c>
      <c r="E224" s="269">
        <f>22*50</f>
        <v>1100</v>
      </c>
      <c r="F224" s="269">
        <v>22</v>
      </c>
    </row>
    <row r="225" spans="4:6" x14ac:dyDescent="0.3">
      <c r="D225" s="269" t="s">
        <v>2014</v>
      </c>
      <c r="E225" s="269">
        <f>23*50</f>
        <v>1150</v>
      </c>
      <c r="F225" s="269">
        <v>23</v>
      </c>
    </row>
    <row r="226" spans="4:6" x14ac:dyDescent="0.3">
      <c r="D226" s="269" t="s">
        <v>2015</v>
      </c>
      <c r="E226" s="269">
        <f>24*50</f>
        <v>1200</v>
      </c>
      <c r="F226" s="269">
        <v>24</v>
      </c>
    </row>
  </sheetData>
  <customSheetViews>
    <customSheetView guid="{BE55F258-44BC-4FB6-88BE-39351DF10384}" showGridLines="0" state="hidden">
      <pageMargins left="0.7" right="0.7" top="0.75" bottom="0.75" header="0.3" footer="0.3"/>
      <pageSetup orientation="portrait" r:id="rId1"/>
    </customSheetView>
  </customSheetViews>
  <mergeCells count="6">
    <mergeCell ref="Y3:AE3"/>
    <mergeCell ref="BE2:BI2"/>
    <mergeCell ref="AZ2:BD2"/>
    <mergeCell ref="BL2:BO2"/>
    <mergeCell ref="AO2:AS2"/>
    <mergeCell ref="AT2:AW2"/>
  </mergeCells>
  <phoneticPr fontId="107" type="noConversion"/>
  <dataValidations disablePrompts="1" count="1">
    <dataValidation type="list" allowBlank="1" showInputMessage="1" showErrorMessage="1" sqref="O58" xr:uid="{4A5DBD00-13B8-4699-8BD0-50487D9F46C3}">
      <formula1>"""A"",""E"""</formula1>
    </dataValidation>
  </dataValidation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rgb="FFFF0000"/>
  </sheetPr>
  <dimension ref="A1:K47"/>
  <sheetViews>
    <sheetView workbookViewId="0"/>
  </sheetViews>
  <sheetFormatPr defaultColWidth="8.81640625" defaultRowHeight="14" x14ac:dyDescent="0.3"/>
  <cols>
    <col min="1" max="1" width="17.54296875" style="5" customWidth="1"/>
    <col min="2" max="2" width="16.1796875" style="5" bestFit="1" customWidth="1"/>
    <col min="3" max="3" width="11.81640625" style="5" bestFit="1" customWidth="1"/>
    <col min="4" max="4" width="8.81640625" style="5"/>
    <col min="5" max="5" width="11.453125" style="5" bestFit="1" customWidth="1"/>
    <col min="6" max="6" width="9.1796875" style="5" bestFit="1" customWidth="1"/>
    <col min="7" max="7" width="9.81640625" style="5" customWidth="1"/>
    <col min="8" max="8" width="8.81640625" style="5"/>
    <col min="9" max="10" width="9.81640625" style="5" bestFit="1" customWidth="1"/>
    <col min="11" max="11" width="59.54296875" style="5" bestFit="1" customWidth="1"/>
    <col min="12" max="16384" width="8.81640625" style="5"/>
  </cols>
  <sheetData>
    <row r="1" spans="1:11" s="152" customFormat="1" ht="42.5" thickBot="1" x14ac:dyDescent="0.35">
      <c r="A1" s="152" t="s">
        <v>9</v>
      </c>
      <c r="B1" s="152" t="s">
        <v>24</v>
      </c>
      <c r="C1" s="152" t="s">
        <v>381</v>
      </c>
      <c r="D1" s="152" t="s">
        <v>350</v>
      </c>
      <c r="E1" s="152" t="s">
        <v>354</v>
      </c>
      <c r="F1" s="152" t="s">
        <v>351</v>
      </c>
      <c r="G1" s="152" t="s">
        <v>355</v>
      </c>
      <c r="H1" s="152" t="s">
        <v>352</v>
      </c>
      <c r="I1" s="152" t="s">
        <v>122</v>
      </c>
      <c r="J1" s="152" t="s">
        <v>121</v>
      </c>
      <c r="K1" s="152" t="s">
        <v>356</v>
      </c>
    </row>
    <row r="2" spans="1:11" ht="42" x14ac:dyDescent="0.3">
      <c r="A2" s="1223" t="s">
        <v>174</v>
      </c>
      <c r="B2" s="1190" t="s">
        <v>90</v>
      </c>
      <c r="C2" s="146" t="s">
        <v>11</v>
      </c>
      <c r="D2" s="163" t="s">
        <v>353</v>
      </c>
      <c r="E2" s="150" t="s">
        <v>119</v>
      </c>
      <c r="F2" s="154" t="s">
        <v>119</v>
      </c>
      <c r="G2" s="150" t="s">
        <v>118</v>
      </c>
      <c r="H2" s="159" t="s">
        <v>118</v>
      </c>
      <c r="I2" s="161" t="str">
        <f t="shared" ref="I2:I11" si="0">IF(E2=F2,"No Change","Change")</f>
        <v>No Change</v>
      </c>
      <c r="J2" s="5" t="str">
        <f t="shared" ref="J2:J11" si="1">IF(G2=H2,"No Change","Change")</f>
        <v>No Change</v>
      </c>
    </row>
    <row r="3" spans="1:11" ht="42.5" thickBot="1" x14ac:dyDescent="0.35">
      <c r="A3" s="1224"/>
      <c r="B3" s="1220"/>
      <c r="C3" s="148" t="s">
        <v>99</v>
      </c>
      <c r="D3" s="164" t="s">
        <v>353</v>
      </c>
      <c r="E3" s="151" t="s">
        <v>117</v>
      </c>
      <c r="F3" s="157" t="s">
        <v>117</v>
      </c>
      <c r="G3" s="151" t="s">
        <v>116</v>
      </c>
      <c r="H3" s="160" t="s">
        <v>116</v>
      </c>
      <c r="I3" s="161" t="str">
        <f t="shared" si="0"/>
        <v>No Change</v>
      </c>
      <c r="J3" s="5" t="str">
        <f t="shared" si="1"/>
        <v>No Change</v>
      </c>
    </row>
    <row r="4" spans="1:11" ht="20.5" customHeight="1" x14ac:dyDescent="0.3">
      <c r="A4" s="1224"/>
      <c r="B4" s="1190" t="s">
        <v>98</v>
      </c>
      <c r="C4" s="146" t="s">
        <v>11</v>
      </c>
      <c r="D4" s="153" t="s">
        <v>357</v>
      </c>
      <c r="E4" s="147" t="s">
        <v>115</v>
      </c>
      <c r="F4" s="153" t="s">
        <v>115</v>
      </c>
      <c r="G4" s="147" t="s">
        <v>114</v>
      </c>
      <c r="H4" s="155" t="s">
        <v>114</v>
      </c>
      <c r="I4" s="161" t="str">
        <f t="shared" si="0"/>
        <v>No Change</v>
      </c>
      <c r="J4" s="5" t="str">
        <f t="shared" si="1"/>
        <v>No Change</v>
      </c>
    </row>
    <row r="5" spans="1:11" ht="15" customHeight="1" thickBot="1" x14ac:dyDescent="0.35">
      <c r="A5" s="1224"/>
      <c r="B5" s="1192"/>
      <c r="C5" s="148" t="s">
        <v>99</v>
      </c>
      <c r="D5" s="156" t="s">
        <v>358</v>
      </c>
      <c r="E5" s="149" t="s">
        <v>115</v>
      </c>
      <c r="F5" s="156" t="s">
        <v>359</v>
      </c>
      <c r="G5" s="149" t="s">
        <v>114</v>
      </c>
      <c r="H5" s="158" t="s">
        <v>360</v>
      </c>
      <c r="I5" s="161" t="str">
        <f t="shared" si="0"/>
        <v>Change</v>
      </c>
      <c r="J5" s="5" t="str">
        <f t="shared" si="1"/>
        <v>Change</v>
      </c>
      <c r="K5" s="5" t="s">
        <v>392</v>
      </c>
    </row>
    <row r="6" spans="1:11" ht="18.649999999999999" customHeight="1" x14ac:dyDescent="0.3">
      <c r="A6" s="1224"/>
      <c r="B6" s="1190" t="s">
        <v>93</v>
      </c>
      <c r="C6" s="146" t="s">
        <v>11</v>
      </c>
      <c r="D6" s="153" t="s">
        <v>115</v>
      </c>
      <c r="E6" s="147" t="s">
        <v>115</v>
      </c>
      <c r="F6" s="153" t="s">
        <v>115</v>
      </c>
      <c r="G6" s="147" t="s">
        <v>114</v>
      </c>
      <c r="H6" s="155" t="s">
        <v>114</v>
      </c>
      <c r="I6" s="161" t="str">
        <f t="shared" si="0"/>
        <v>No Change</v>
      </c>
      <c r="J6" s="5" t="str">
        <f t="shared" si="1"/>
        <v>No Change</v>
      </c>
    </row>
    <row r="7" spans="1:11" ht="14.5" thickBot="1" x14ac:dyDescent="0.35">
      <c r="A7" s="1224"/>
      <c r="B7" s="1192"/>
      <c r="C7" s="148" t="s">
        <v>99</v>
      </c>
      <c r="D7" s="156" t="s">
        <v>358</v>
      </c>
      <c r="E7" s="149" t="s">
        <v>115</v>
      </c>
      <c r="F7" s="156" t="s">
        <v>361</v>
      </c>
      <c r="G7" s="149" t="s">
        <v>114</v>
      </c>
      <c r="H7" s="158" t="s">
        <v>362</v>
      </c>
      <c r="I7" s="161" t="str">
        <f t="shared" si="0"/>
        <v>Change</v>
      </c>
      <c r="J7" s="5" t="str">
        <f t="shared" si="1"/>
        <v>Change</v>
      </c>
      <c r="K7" s="5" t="s">
        <v>392</v>
      </c>
    </row>
    <row r="8" spans="1:11" x14ac:dyDescent="0.3">
      <c r="A8" s="1224"/>
      <c r="B8" s="1190" t="s">
        <v>94</v>
      </c>
      <c r="C8" s="146" t="s">
        <v>11</v>
      </c>
      <c r="D8" s="153" t="s">
        <v>363</v>
      </c>
      <c r="E8" s="147" t="s">
        <v>113</v>
      </c>
      <c r="F8" s="153" t="s">
        <v>363</v>
      </c>
      <c r="G8" s="147" t="s">
        <v>112</v>
      </c>
      <c r="H8" s="155" t="s">
        <v>366</v>
      </c>
      <c r="I8" s="161" t="str">
        <f t="shared" si="0"/>
        <v>Change</v>
      </c>
      <c r="J8" s="5" t="str">
        <f t="shared" si="1"/>
        <v>Change</v>
      </c>
      <c r="K8" s="5" t="s">
        <v>371</v>
      </c>
    </row>
    <row r="9" spans="1:11" ht="14.5" thickBot="1" x14ac:dyDescent="0.35">
      <c r="A9" s="1224"/>
      <c r="B9" s="1192"/>
      <c r="C9" s="148" t="s">
        <v>99</v>
      </c>
      <c r="D9" s="156" t="s">
        <v>364</v>
      </c>
      <c r="E9" s="149" t="s">
        <v>113</v>
      </c>
      <c r="F9" s="156" t="s">
        <v>365</v>
      </c>
      <c r="G9" s="149" t="s">
        <v>112</v>
      </c>
      <c r="H9" s="158" t="s">
        <v>367</v>
      </c>
      <c r="I9" s="161" t="str">
        <f t="shared" si="0"/>
        <v>Change</v>
      </c>
      <c r="J9" s="5" t="str">
        <f t="shared" si="1"/>
        <v>Change</v>
      </c>
      <c r="K9" s="5" t="s">
        <v>392</v>
      </c>
    </row>
    <row r="10" spans="1:11" x14ac:dyDescent="0.3">
      <c r="A10" s="1224"/>
      <c r="B10" s="1190" t="s">
        <v>137</v>
      </c>
      <c r="C10" s="146" t="s">
        <v>11</v>
      </c>
      <c r="D10" s="153" t="s">
        <v>111</v>
      </c>
      <c r="E10" s="147" t="s">
        <v>111</v>
      </c>
      <c r="F10" s="153" t="s">
        <v>111</v>
      </c>
      <c r="G10" s="147" t="s">
        <v>110</v>
      </c>
      <c r="H10" s="155" t="s">
        <v>110</v>
      </c>
      <c r="I10" s="161" t="str">
        <f t="shared" si="0"/>
        <v>No Change</v>
      </c>
      <c r="J10" s="5" t="str">
        <f t="shared" si="1"/>
        <v>No Change</v>
      </c>
    </row>
    <row r="11" spans="1:11" ht="14.5" thickBot="1" x14ac:dyDescent="0.35">
      <c r="A11" s="1225"/>
      <c r="B11" s="1192"/>
      <c r="C11" s="148" t="s">
        <v>99</v>
      </c>
      <c r="D11" s="156" t="s">
        <v>368</v>
      </c>
      <c r="E11" s="149" t="s">
        <v>111</v>
      </c>
      <c r="F11" s="156" t="s">
        <v>369</v>
      </c>
      <c r="G11" s="149" t="s">
        <v>110</v>
      </c>
      <c r="H11" s="158" t="s">
        <v>370</v>
      </c>
      <c r="I11" s="161" t="str">
        <f t="shared" si="0"/>
        <v>Change</v>
      </c>
      <c r="J11" s="5" t="str">
        <f t="shared" si="1"/>
        <v>Change</v>
      </c>
      <c r="K11" s="5" t="s">
        <v>392</v>
      </c>
    </row>
    <row r="12" spans="1:11" ht="27" customHeight="1" x14ac:dyDescent="0.3">
      <c r="A12" s="1226" t="s">
        <v>175</v>
      </c>
      <c r="B12" s="1190" t="s">
        <v>25</v>
      </c>
      <c r="C12" s="146" t="s">
        <v>11</v>
      </c>
      <c r="D12" s="163" t="s">
        <v>353</v>
      </c>
      <c r="E12" s="153" t="s">
        <v>372</v>
      </c>
      <c r="F12" s="162" t="s">
        <v>353</v>
      </c>
      <c r="G12" s="163" t="s">
        <v>353</v>
      </c>
      <c r="H12" s="165" t="s">
        <v>353</v>
      </c>
    </row>
    <row r="13" spans="1:11" ht="23.15" customHeight="1" thickBot="1" x14ac:dyDescent="0.35">
      <c r="A13" s="1226"/>
      <c r="B13" s="1192"/>
      <c r="C13" s="148" t="s">
        <v>99</v>
      </c>
      <c r="D13" s="164" t="s">
        <v>353</v>
      </c>
      <c r="E13" s="156" t="s">
        <v>372</v>
      </c>
      <c r="F13" s="162" t="s">
        <v>353</v>
      </c>
      <c r="G13" s="164" t="s">
        <v>353</v>
      </c>
      <c r="H13" s="166" t="s">
        <v>353</v>
      </c>
    </row>
    <row r="14" spans="1:11" x14ac:dyDescent="0.3">
      <c r="A14" s="1213" t="s">
        <v>377</v>
      </c>
      <c r="B14" s="1190" t="s">
        <v>90</v>
      </c>
      <c r="C14" s="146" t="s">
        <v>11</v>
      </c>
      <c r="D14" s="168" t="s">
        <v>353</v>
      </c>
      <c r="E14" s="168" t="s">
        <v>353</v>
      </c>
      <c r="F14" s="169" t="s">
        <v>372</v>
      </c>
      <c r="G14" s="168" t="s">
        <v>353</v>
      </c>
      <c r="H14" s="170" t="s">
        <v>353</v>
      </c>
    </row>
    <row r="15" spans="1:11" ht="14.5" thickBot="1" x14ac:dyDescent="0.35">
      <c r="A15" s="1214"/>
      <c r="B15" s="1220"/>
      <c r="C15" s="148" t="s">
        <v>99</v>
      </c>
      <c r="D15" s="171" t="s">
        <v>353</v>
      </c>
      <c r="E15" s="171" t="s">
        <v>353</v>
      </c>
      <c r="F15" s="172" t="s">
        <v>372</v>
      </c>
      <c r="G15" s="171" t="s">
        <v>353</v>
      </c>
      <c r="H15" s="173" t="s">
        <v>353</v>
      </c>
    </row>
    <row r="16" spans="1:11" x14ac:dyDescent="0.3">
      <c r="A16" s="1214"/>
      <c r="B16" s="1190" t="s">
        <v>98</v>
      </c>
      <c r="C16" s="146" t="s">
        <v>11</v>
      </c>
      <c r="D16" s="168" t="s">
        <v>353</v>
      </c>
      <c r="E16" s="168" t="s">
        <v>353</v>
      </c>
      <c r="F16" s="169" t="s">
        <v>374</v>
      </c>
      <c r="G16" s="168" t="s">
        <v>353</v>
      </c>
      <c r="H16" s="170" t="s">
        <v>353</v>
      </c>
    </row>
    <row r="17" spans="1:11" ht="14.5" thickBot="1" x14ac:dyDescent="0.35">
      <c r="A17" s="1214"/>
      <c r="B17" s="1192"/>
      <c r="C17" s="148" t="s">
        <v>99</v>
      </c>
      <c r="D17" s="171" t="s">
        <v>353</v>
      </c>
      <c r="E17" s="171" t="s">
        <v>353</v>
      </c>
      <c r="F17" s="174" t="s">
        <v>375</v>
      </c>
      <c r="G17" s="171" t="s">
        <v>353</v>
      </c>
      <c r="H17" s="173" t="s">
        <v>353</v>
      </c>
    </row>
    <row r="18" spans="1:11" x14ac:dyDescent="0.3">
      <c r="A18" s="1214"/>
      <c r="B18" s="1221" t="s">
        <v>373</v>
      </c>
      <c r="C18" s="146" t="s">
        <v>11</v>
      </c>
      <c r="D18" s="168" t="s">
        <v>353</v>
      </c>
      <c r="E18" s="168" t="s">
        <v>353</v>
      </c>
      <c r="F18" s="169" t="s">
        <v>374</v>
      </c>
      <c r="G18" s="168" t="s">
        <v>353</v>
      </c>
      <c r="H18" s="170" t="s">
        <v>353</v>
      </c>
    </row>
    <row r="19" spans="1:11" ht="14.5" thickBot="1" x14ac:dyDescent="0.35">
      <c r="A19" s="1215"/>
      <c r="B19" s="1222"/>
      <c r="C19" s="148" t="s">
        <v>99</v>
      </c>
      <c r="D19" s="171" t="s">
        <v>353</v>
      </c>
      <c r="E19" s="171" t="s">
        <v>353</v>
      </c>
      <c r="F19" s="172" t="s">
        <v>376</v>
      </c>
      <c r="G19" s="171" t="s">
        <v>353</v>
      </c>
      <c r="H19" s="173" t="s">
        <v>353</v>
      </c>
    </row>
    <row r="20" spans="1:11" x14ac:dyDescent="0.3">
      <c r="A20" s="1213" t="s">
        <v>378</v>
      </c>
      <c r="B20" s="1190" t="s">
        <v>90</v>
      </c>
      <c r="C20" s="146" t="s">
        <v>11</v>
      </c>
      <c r="D20" s="168" t="s">
        <v>353</v>
      </c>
      <c r="E20" s="168" t="s">
        <v>353</v>
      </c>
      <c r="F20" s="169" t="s">
        <v>372</v>
      </c>
      <c r="G20" s="168" t="s">
        <v>353</v>
      </c>
      <c r="H20" s="170" t="s">
        <v>353</v>
      </c>
    </row>
    <row r="21" spans="1:11" ht="14.5" thickBot="1" x14ac:dyDescent="0.35">
      <c r="A21" s="1214"/>
      <c r="B21" s="1220"/>
      <c r="C21" s="148" t="s">
        <v>99</v>
      </c>
      <c r="D21" s="171" t="s">
        <v>353</v>
      </c>
      <c r="E21" s="171" t="s">
        <v>353</v>
      </c>
      <c r="F21" s="172" t="s">
        <v>372</v>
      </c>
      <c r="G21" s="171" t="s">
        <v>353</v>
      </c>
      <c r="H21" s="173" t="s">
        <v>353</v>
      </c>
    </row>
    <row r="22" spans="1:11" x14ac:dyDescent="0.3">
      <c r="A22" s="1214"/>
      <c r="B22" s="1190" t="s">
        <v>98</v>
      </c>
      <c r="C22" s="146" t="s">
        <v>11</v>
      </c>
      <c r="D22" s="168" t="s">
        <v>353</v>
      </c>
      <c r="E22" s="168" t="s">
        <v>353</v>
      </c>
      <c r="F22" s="169" t="s">
        <v>374</v>
      </c>
      <c r="G22" s="168" t="s">
        <v>353</v>
      </c>
      <c r="H22" s="170" t="s">
        <v>353</v>
      </c>
    </row>
    <row r="23" spans="1:11" ht="14.5" thickBot="1" x14ac:dyDescent="0.35">
      <c r="A23" s="1214"/>
      <c r="B23" s="1192"/>
      <c r="C23" s="148" t="s">
        <v>99</v>
      </c>
      <c r="D23" s="171" t="s">
        <v>353</v>
      </c>
      <c r="E23" s="171" t="s">
        <v>353</v>
      </c>
      <c r="F23" s="174" t="s">
        <v>375</v>
      </c>
      <c r="G23" s="171" t="s">
        <v>353</v>
      </c>
      <c r="H23" s="173" t="s">
        <v>353</v>
      </c>
    </row>
    <row r="24" spans="1:11" x14ac:dyDescent="0.3">
      <c r="A24" s="1214"/>
      <c r="B24" s="1221" t="s">
        <v>373</v>
      </c>
      <c r="C24" s="146" t="s">
        <v>11</v>
      </c>
      <c r="D24" s="168" t="s">
        <v>353</v>
      </c>
      <c r="E24" s="168" t="s">
        <v>353</v>
      </c>
      <c r="F24" s="169" t="s">
        <v>379</v>
      </c>
      <c r="G24" s="168" t="s">
        <v>353</v>
      </c>
      <c r="H24" s="170" t="s">
        <v>353</v>
      </c>
    </row>
    <row r="25" spans="1:11" ht="14.5" thickBot="1" x14ac:dyDescent="0.35">
      <c r="A25" s="1215"/>
      <c r="B25" s="1222"/>
      <c r="C25" s="148" t="s">
        <v>99</v>
      </c>
      <c r="D25" s="171" t="s">
        <v>353</v>
      </c>
      <c r="E25" s="171" t="s">
        <v>353</v>
      </c>
      <c r="F25" s="172" t="s">
        <v>380</v>
      </c>
      <c r="G25" s="171" t="s">
        <v>353</v>
      </c>
      <c r="H25" s="173" t="s">
        <v>353</v>
      </c>
    </row>
    <row r="28" spans="1:11" ht="42.5" thickBot="1" x14ac:dyDescent="0.35">
      <c r="A28" s="152" t="s">
        <v>9</v>
      </c>
      <c r="B28" s="152" t="s">
        <v>24</v>
      </c>
      <c r="C28" s="152" t="s">
        <v>381</v>
      </c>
      <c r="D28" s="152" t="s">
        <v>382</v>
      </c>
      <c r="E28" s="152" t="s">
        <v>354</v>
      </c>
      <c r="F28" s="152" t="s">
        <v>351</v>
      </c>
      <c r="G28" s="152" t="s">
        <v>355</v>
      </c>
      <c r="H28" s="152" t="s">
        <v>352</v>
      </c>
    </row>
    <row r="29" spans="1:11" ht="56" x14ac:dyDescent="0.3">
      <c r="A29" s="1223" t="s">
        <v>95</v>
      </c>
      <c r="B29" s="1190" t="s">
        <v>90</v>
      </c>
      <c r="C29" s="175" t="s">
        <v>11</v>
      </c>
      <c r="D29" s="153"/>
      <c r="E29" s="163" t="s">
        <v>353</v>
      </c>
      <c r="F29" s="176" t="s">
        <v>391</v>
      </c>
      <c r="G29" s="186" t="s">
        <v>391</v>
      </c>
      <c r="H29" s="177" t="s">
        <v>390</v>
      </c>
      <c r="I29" s="161" t="str">
        <f>IF(F29=G29,"No Change","Change")</f>
        <v>No Change</v>
      </c>
    </row>
    <row r="30" spans="1:11" ht="56.5" thickBot="1" x14ac:dyDescent="0.35">
      <c r="A30" s="1224"/>
      <c r="B30" s="1220"/>
      <c r="C30" s="178" t="s">
        <v>99</v>
      </c>
      <c r="D30" s="156"/>
      <c r="E30" s="164" t="s">
        <v>353</v>
      </c>
      <c r="F30" s="179" t="s">
        <v>107</v>
      </c>
      <c r="G30" s="187" t="s">
        <v>107</v>
      </c>
      <c r="H30" s="167" t="s">
        <v>389</v>
      </c>
      <c r="I30" s="161" t="str">
        <f>IF(F30=G30,"No Change","Change")</f>
        <v>No Change</v>
      </c>
    </row>
    <row r="31" spans="1:11" ht="28" x14ac:dyDescent="0.3">
      <c r="A31" s="1224"/>
      <c r="B31" s="1190" t="s">
        <v>106</v>
      </c>
      <c r="C31" s="175" t="s">
        <v>11</v>
      </c>
      <c r="D31" s="153" t="s">
        <v>383</v>
      </c>
      <c r="E31" s="163" t="s">
        <v>353</v>
      </c>
      <c r="F31" s="1218" t="s">
        <v>393</v>
      </c>
      <c r="G31" s="186" t="s">
        <v>105</v>
      </c>
      <c r="H31" s="165" t="s">
        <v>353</v>
      </c>
      <c r="I31" s="161" t="str">
        <f t="shared" ref="I31:I37" si="2">IF(F31=G31,"No Change","Change")</f>
        <v>Change</v>
      </c>
      <c r="K31" s="5" t="s">
        <v>371</v>
      </c>
    </row>
    <row r="32" spans="1:11" ht="28.5" thickBot="1" x14ac:dyDescent="0.35">
      <c r="A32" s="1224"/>
      <c r="B32" s="1192"/>
      <c r="C32" s="178" t="s">
        <v>99</v>
      </c>
      <c r="D32" s="156" t="s">
        <v>384</v>
      </c>
      <c r="E32" s="164" t="s">
        <v>353</v>
      </c>
      <c r="F32" s="1219"/>
      <c r="G32" s="187" t="s">
        <v>105</v>
      </c>
      <c r="H32" s="166" t="s">
        <v>353</v>
      </c>
      <c r="I32" s="161" t="str">
        <f t="shared" si="2"/>
        <v>Change</v>
      </c>
      <c r="K32" s="5" t="s">
        <v>392</v>
      </c>
    </row>
    <row r="33" spans="1:11" ht="28" x14ac:dyDescent="0.3">
      <c r="A33" s="1224"/>
      <c r="B33" s="1190" t="s">
        <v>93</v>
      </c>
      <c r="C33" s="175" t="s">
        <v>11</v>
      </c>
      <c r="D33" s="153" t="s">
        <v>385</v>
      </c>
      <c r="E33" s="163" t="s">
        <v>353</v>
      </c>
      <c r="F33" s="1218" t="s">
        <v>394</v>
      </c>
      <c r="G33" s="186" t="s">
        <v>104</v>
      </c>
      <c r="H33" s="165" t="s">
        <v>353</v>
      </c>
      <c r="I33" s="161" t="str">
        <f t="shared" si="2"/>
        <v>Change</v>
      </c>
      <c r="K33" s="5" t="s">
        <v>371</v>
      </c>
    </row>
    <row r="34" spans="1:11" ht="28.5" thickBot="1" x14ac:dyDescent="0.35">
      <c r="A34" s="1224"/>
      <c r="B34" s="1192"/>
      <c r="C34" s="178" t="s">
        <v>99</v>
      </c>
      <c r="D34" s="156" t="s">
        <v>386</v>
      </c>
      <c r="E34" s="164" t="s">
        <v>353</v>
      </c>
      <c r="F34" s="1219"/>
      <c r="G34" s="187" t="s">
        <v>104</v>
      </c>
      <c r="H34" s="166" t="s">
        <v>353</v>
      </c>
      <c r="I34" s="161" t="str">
        <f t="shared" si="2"/>
        <v>Change</v>
      </c>
      <c r="K34" s="5" t="s">
        <v>392</v>
      </c>
    </row>
    <row r="35" spans="1:11" ht="28" x14ac:dyDescent="0.3">
      <c r="A35" s="1224"/>
      <c r="B35" s="1190" t="s">
        <v>94</v>
      </c>
      <c r="C35" s="175" t="s">
        <v>11</v>
      </c>
      <c r="D35" s="153" t="s">
        <v>387</v>
      </c>
      <c r="E35" s="163" t="s">
        <v>353</v>
      </c>
      <c r="F35" s="1218" t="s">
        <v>395</v>
      </c>
      <c r="G35" s="186" t="s">
        <v>103</v>
      </c>
      <c r="H35" s="165" t="s">
        <v>353</v>
      </c>
      <c r="I35" s="161" t="str">
        <f t="shared" si="2"/>
        <v>Change</v>
      </c>
      <c r="K35" s="5" t="s">
        <v>371</v>
      </c>
    </row>
    <row r="36" spans="1:11" ht="28.5" thickBot="1" x14ac:dyDescent="0.35">
      <c r="A36" s="1225"/>
      <c r="B36" s="1192"/>
      <c r="C36" s="178" t="s">
        <v>99</v>
      </c>
      <c r="D36" s="156" t="s">
        <v>388</v>
      </c>
      <c r="E36" s="164" t="s">
        <v>353</v>
      </c>
      <c r="F36" s="1219"/>
      <c r="G36" s="187" t="s">
        <v>103</v>
      </c>
      <c r="H36" s="166" t="s">
        <v>353</v>
      </c>
      <c r="I36" s="161" t="str">
        <f t="shared" si="2"/>
        <v>Change</v>
      </c>
      <c r="K36" s="5" t="s">
        <v>392</v>
      </c>
    </row>
    <row r="37" spans="1:11" ht="28.5" thickBot="1" x14ac:dyDescent="0.35">
      <c r="A37" s="185" t="s">
        <v>97</v>
      </c>
      <c r="B37" s="104" t="s">
        <v>96</v>
      </c>
      <c r="C37" s="180" t="s">
        <v>30</v>
      </c>
      <c r="D37" s="181" t="s">
        <v>396</v>
      </c>
      <c r="E37" s="182" t="s">
        <v>353</v>
      </c>
      <c r="F37" s="183" t="s">
        <v>397</v>
      </c>
      <c r="G37" s="188" t="s">
        <v>397</v>
      </c>
      <c r="H37" s="184" t="s">
        <v>353</v>
      </c>
      <c r="I37" s="161" t="str">
        <f t="shared" si="2"/>
        <v>No Change</v>
      </c>
    </row>
    <row r="39" spans="1:11" ht="42.5" thickBot="1" x14ac:dyDescent="0.35">
      <c r="A39" s="152" t="s">
        <v>9</v>
      </c>
      <c r="B39" s="152" t="s">
        <v>24</v>
      </c>
      <c r="C39" s="152" t="s">
        <v>381</v>
      </c>
      <c r="D39" s="152" t="s">
        <v>382</v>
      </c>
      <c r="E39" s="152" t="s">
        <v>354</v>
      </c>
      <c r="F39" s="152" t="s">
        <v>351</v>
      </c>
      <c r="G39" s="152" t="s">
        <v>355</v>
      </c>
      <c r="H39" s="152" t="s">
        <v>352</v>
      </c>
    </row>
    <row r="40" spans="1:11" ht="42" x14ac:dyDescent="0.3">
      <c r="A40" s="1213" t="s">
        <v>401</v>
      </c>
      <c r="B40" s="1190" t="s">
        <v>90</v>
      </c>
      <c r="C40" s="146" t="s">
        <v>11</v>
      </c>
      <c r="D40" s="163" t="s">
        <v>353</v>
      </c>
      <c r="E40" s="150" t="s">
        <v>119</v>
      </c>
      <c r="F40" s="154" t="s">
        <v>119</v>
      </c>
      <c r="G40" s="150" t="s">
        <v>118</v>
      </c>
      <c r="H40" s="159" t="s">
        <v>118</v>
      </c>
      <c r="I40" s="161" t="str">
        <f t="shared" ref="I40:I47" si="3">IF(E40=F40,"No Change","Change")</f>
        <v>No Change</v>
      </c>
      <c r="J40" s="5" t="str">
        <f t="shared" ref="J40:J47" si="4">IF(F40=G40,"No Change","Change")</f>
        <v>Change</v>
      </c>
    </row>
    <row r="41" spans="1:11" ht="28.5" thickBot="1" x14ac:dyDescent="0.35">
      <c r="A41" s="1214"/>
      <c r="B41" s="1220"/>
      <c r="C41" s="148" t="s">
        <v>99</v>
      </c>
      <c r="D41" s="164" t="s">
        <v>353</v>
      </c>
      <c r="E41" s="151" t="s">
        <v>117</v>
      </c>
      <c r="F41" s="157" t="s">
        <v>353</v>
      </c>
      <c r="G41" s="151" t="s">
        <v>116</v>
      </c>
      <c r="H41" s="160" t="s">
        <v>353</v>
      </c>
      <c r="I41" s="161" t="str">
        <f t="shared" si="3"/>
        <v>Change</v>
      </c>
      <c r="J41" s="5" t="str">
        <f t="shared" si="4"/>
        <v>Change</v>
      </c>
    </row>
    <row r="42" spans="1:11" ht="15" customHeight="1" x14ac:dyDescent="0.3">
      <c r="A42" s="1214"/>
      <c r="B42" s="1190" t="s">
        <v>98</v>
      </c>
      <c r="C42" s="146" t="s">
        <v>11</v>
      </c>
      <c r="D42" s="153" t="s">
        <v>357</v>
      </c>
      <c r="E42" s="147" t="s">
        <v>115</v>
      </c>
      <c r="F42" s="153" t="s">
        <v>357</v>
      </c>
      <c r="G42" s="147" t="s">
        <v>114</v>
      </c>
      <c r="H42" s="1216" t="s">
        <v>353</v>
      </c>
      <c r="I42" s="161" t="str">
        <f t="shared" si="3"/>
        <v>Change</v>
      </c>
      <c r="J42" s="5" t="str">
        <f t="shared" si="4"/>
        <v>Change</v>
      </c>
      <c r="K42" s="5" t="s">
        <v>371</v>
      </c>
    </row>
    <row r="43" spans="1:11" ht="15" customHeight="1" thickBot="1" x14ac:dyDescent="0.35">
      <c r="A43" s="1214"/>
      <c r="B43" s="1192"/>
      <c r="C43" s="148" t="s">
        <v>99</v>
      </c>
      <c r="D43" s="156" t="s">
        <v>358</v>
      </c>
      <c r="E43" s="149" t="s">
        <v>115</v>
      </c>
      <c r="F43" s="156" t="s">
        <v>398</v>
      </c>
      <c r="G43" s="149" t="s">
        <v>114</v>
      </c>
      <c r="H43" s="1217"/>
      <c r="I43" s="161" t="str">
        <f t="shared" si="3"/>
        <v>Change</v>
      </c>
      <c r="J43" s="5" t="str">
        <f t="shared" si="4"/>
        <v>Change</v>
      </c>
      <c r="K43" s="5" t="s">
        <v>400</v>
      </c>
    </row>
    <row r="44" spans="1:11" ht="15" customHeight="1" x14ac:dyDescent="0.3">
      <c r="A44" s="1214"/>
      <c r="B44" s="1190" t="s">
        <v>93</v>
      </c>
      <c r="C44" s="146" t="s">
        <v>11</v>
      </c>
      <c r="D44" s="153" t="s">
        <v>115</v>
      </c>
      <c r="E44" s="147" t="s">
        <v>115</v>
      </c>
      <c r="F44" s="153" t="s">
        <v>357</v>
      </c>
      <c r="G44" s="147" t="s">
        <v>114</v>
      </c>
      <c r="H44" s="1216" t="s">
        <v>353</v>
      </c>
      <c r="I44" s="161" t="str">
        <f t="shared" si="3"/>
        <v>Change</v>
      </c>
      <c r="J44" s="5" t="str">
        <f t="shared" si="4"/>
        <v>Change</v>
      </c>
      <c r="K44" s="5" t="s">
        <v>371</v>
      </c>
    </row>
    <row r="45" spans="1:11" ht="15" customHeight="1" thickBot="1" x14ac:dyDescent="0.35">
      <c r="A45" s="1214"/>
      <c r="B45" s="1192"/>
      <c r="C45" s="148" t="s">
        <v>99</v>
      </c>
      <c r="D45" s="156" t="s">
        <v>358</v>
      </c>
      <c r="E45" s="149" t="s">
        <v>115</v>
      </c>
      <c r="F45" s="156" t="s">
        <v>399</v>
      </c>
      <c r="G45" s="149" t="s">
        <v>114</v>
      </c>
      <c r="H45" s="1217"/>
      <c r="I45" s="161" t="str">
        <f t="shared" si="3"/>
        <v>Change</v>
      </c>
      <c r="J45" s="5" t="str">
        <f t="shared" si="4"/>
        <v>Change</v>
      </c>
      <c r="K45" s="5" t="s">
        <v>400</v>
      </c>
    </row>
    <row r="46" spans="1:11" ht="15" customHeight="1" x14ac:dyDescent="0.3">
      <c r="A46" s="1214"/>
      <c r="B46" s="1190" t="s">
        <v>94</v>
      </c>
      <c r="C46" s="146" t="s">
        <v>11</v>
      </c>
      <c r="D46" s="153" t="s">
        <v>363</v>
      </c>
      <c r="E46" s="147" t="s">
        <v>113</v>
      </c>
      <c r="F46" s="153" t="s">
        <v>113</v>
      </c>
      <c r="G46" s="147" t="s">
        <v>112</v>
      </c>
      <c r="H46" s="1216" t="s">
        <v>353</v>
      </c>
      <c r="I46" s="161" t="str">
        <f t="shared" si="3"/>
        <v>No Change</v>
      </c>
      <c r="J46" s="5" t="str">
        <f t="shared" si="4"/>
        <v>Change</v>
      </c>
    </row>
    <row r="47" spans="1:11" ht="15" customHeight="1" thickBot="1" x14ac:dyDescent="0.35">
      <c r="A47" s="1215"/>
      <c r="B47" s="1192"/>
      <c r="C47" s="148" t="s">
        <v>99</v>
      </c>
      <c r="D47" s="156" t="s">
        <v>364</v>
      </c>
      <c r="E47" s="149" t="s">
        <v>113</v>
      </c>
      <c r="F47" s="156" t="s">
        <v>362</v>
      </c>
      <c r="G47" s="149" t="s">
        <v>112</v>
      </c>
      <c r="H47" s="1217"/>
      <c r="I47" s="161" t="str">
        <f t="shared" si="3"/>
        <v>Change</v>
      </c>
      <c r="J47" s="5" t="str">
        <f t="shared" si="4"/>
        <v>Change</v>
      </c>
      <c r="K47" s="5" t="s">
        <v>400</v>
      </c>
    </row>
  </sheetData>
  <sheetProtection password="BA01" sheet="1" objects="1" scenarios="1"/>
  <mergeCells count="32">
    <mergeCell ref="A12:A13"/>
    <mergeCell ref="B12:B13"/>
    <mergeCell ref="A2:A11"/>
    <mergeCell ref="B2:B3"/>
    <mergeCell ref="B4:B5"/>
    <mergeCell ref="B6:B7"/>
    <mergeCell ref="B8:B9"/>
    <mergeCell ref="B10:B11"/>
    <mergeCell ref="B14:B15"/>
    <mergeCell ref="B16:B17"/>
    <mergeCell ref="B18:B19"/>
    <mergeCell ref="A14:A19"/>
    <mergeCell ref="B20:B21"/>
    <mergeCell ref="B22:B23"/>
    <mergeCell ref="B24:B25"/>
    <mergeCell ref="A20:A25"/>
    <mergeCell ref="A29:A36"/>
    <mergeCell ref="B29:B30"/>
    <mergeCell ref="B31:B32"/>
    <mergeCell ref="B33:B34"/>
    <mergeCell ref="B35:B36"/>
    <mergeCell ref="F31:F32"/>
    <mergeCell ref="F33:F34"/>
    <mergeCell ref="F35:F36"/>
    <mergeCell ref="B40:B41"/>
    <mergeCell ref="B42:B43"/>
    <mergeCell ref="B46:B47"/>
    <mergeCell ref="A40:A47"/>
    <mergeCell ref="H42:H43"/>
    <mergeCell ref="H44:H45"/>
    <mergeCell ref="H46:H47"/>
    <mergeCell ref="B44:B45"/>
  </mergeCells>
  <conditionalFormatting sqref="I3:I11">
    <cfRule type="expression" dxfId="3" priority="5" stopIfTrue="1">
      <formula>$I$2="Change"</formula>
    </cfRule>
  </conditionalFormatting>
  <conditionalFormatting sqref="I2:J11">
    <cfRule type="expression" dxfId="2" priority="3" stopIfTrue="1">
      <formula>$I2="Change"</formula>
    </cfRule>
  </conditionalFormatting>
  <conditionalFormatting sqref="I29:J37">
    <cfRule type="expression" dxfId="1" priority="2" stopIfTrue="1">
      <formula>$I29="Change"</formula>
    </cfRule>
  </conditionalFormatting>
  <conditionalFormatting sqref="I40:J47">
    <cfRule type="expression" dxfId="0" priority="1" stopIfTrue="1">
      <formula>$I40="Change"</formula>
    </cfRule>
  </conditionalFormatting>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pageSetUpPr fitToPage="1"/>
  </sheetPr>
  <dimension ref="A1:IV79"/>
  <sheetViews>
    <sheetView showGridLines="0" zoomScaleNormal="100" workbookViewId="0">
      <selection sqref="A1:G1"/>
    </sheetView>
  </sheetViews>
  <sheetFormatPr defaultColWidth="0" defaultRowHeight="16.5" customHeight="1" zeroHeight="1" x14ac:dyDescent="0.3"/>
  <cols>
    <col min="1" max="1" width="2" style="794" customWidth="1"/>
    <col min="2" max="11" width="13.54296875" style="2" customWidth="1"/>
    <col min="12" max="12" width="9.1796875" style="2" hidden="1" customWidth="1"/>
    <col min="13" max="16384" width="0" style="2" hidden="1"/>
  </cols>
  <sheetData>
    <row r="1" spans="1:256" ht="60" customHeight="1" x14ac:dyDescent="0.6">
      <c r="A1" s="1031" t="str">
        <f>Development!B4&amp;" "&amp;"Commercial Efficiency Program"</f>
        <v>2024 Commercial Efficiency Program</v>
      </c>
      <c r="B1" s="1031"/>
      <c r="C1" s="1031"/>
      <c r="D1" s="1031"/>
      <c r="E1" s="1031"/>
      <c r="F1" s="1031"/>
      <c r="G1" s="1031"/>
      <c r="H1" s="835"/>
      <c r="I1" s="837"/>
      <c r="J1" s="790"/>
      <c r="K1" s="790"/>
    </row>
    <row r="2" spans="1:256" ht="60" customHeight="1" thickBot="1" x14ac:dyDescent="0.35">
      <c r="A2" s="1032" t="s">
        <v>1056</v>
      </c>
      <c r="B2" s="1032"/>
      <c r="C2" s="1032"/>
      <c r="D2" s="1032"/>
      <c r="E2" s="1032"/>
      <c r="F2" s="1032"/>
      <c r="G2" s="1032"/>
      <c r="H2" s="836"/>
      <c r="I2" s="836"/>
      <c r="J2" s="791"/>
      <c r="K2" s="791"/>
      <c r="L2" s="383"/>
      <c r="M2" s="384"/>
      <c r="N2" s="384"/>
      <c r="O2" s="384"/>
      <c r="P2" s="384"/>
      <c r="Q2" s="384"/>
      <c r="R2" s="384"/>
      <c r="S2" s="384"/>
      <c r="T2" s="384"/>
      <c r="U2" s="384"/>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3"/>
      <c r="ES2" s="1033"/>
      <c r="ET2" s="1033"/>
      <c r="EU2" s="1033"/>
      <c r="EV2" s="1033"/>
      <c r="EW2" s="1033"/>
      <c r="EX2" s="1033"/>
      <c r="EY2" s="1033"/>
      <c r="EZ2" s="1033"/>
      <c r="FA2" s="1033"/>
      <c r="FB2" s="1033"/>
      <c r="FC2" s="1033"/>
      <c r="FD2" s="1033"/>
      <c r="FE2" s="1033"/>
      <c r="FF2" s="1033"/>
      <c r="FG2" s="1033"/>
      <c r="FH2" s="1033"/>
      <c r="FI2" s="1033"/>
      <c r="FJ2" s="1033"/>
      <c r="FK2" s="1033"/>
      <c r="FL2" s="1033"/>
      <c r="FM2" s="1033"/>
      <c r="FN2" s="1033"/>
      <c r="FO2" s="1033"/>
      <c r="FP2" s="1033"/>
      <c r="FQ2" s="1033"/>
      <c r="FR2" s="1033"/>
      <c r="FS2" s="1033"/>
      <c r="FT2" s="1033"/>
      <c r="FU2" s="1033"/>
      <c r="FV2" s="1033"/>
      <c r="FW2" s="1033"/>
      <c r="FX2" s="1033"/>
      <c r="FY2" s="1033"/>
      <c r="FZ2" s="1033"/>
      <c r="GA2" s="1033"/>
      <c r="GB2" s="1033"/>
      <c r="GC2" s="1033"/>
      <c r="GD2" s="1033"/>
      <c r="GE2" s="1033"/>
      <c r="GF2" s="1033"/>
      <c r="GG2" s="1033"/>
      <c r="GH2" s="1033"/>
      <c r="GI2" s="1033"/>
      <c r="GJ2" s="1033"/>
      <c r="GK2" s="1033"/>
      <c r="GL2" s="1033"/>
      <c r="GM2" s="1033"/>
      <c r="GN2" s="1033"/>
      <c r="GO2" s="1033"/>
      <c r="GP2" s="1033"/>
      <c r="GQ2" s="1033"/>
      <c r="GR2" s="1033"/>
      <c r="GS2" s="1033"/>
      <c r="GT2" s="1033"/>
      <c r="GU2" s="1033"/>
      <c r="GV2" s="1033"/>
      <c r="GW2" s="1033"/>
      <c r="GX2" s="1033"/>
      <c r="GY2" s="1033"/>
      <c r="GZ2" s="1033"/>
      <c r="HA2" s="1033"/>
      <c r="HB2" s="1033"/>
      <c r="HC2" s="1033"/>
      <c r="HD2" s="1033"/>
      <c r="HE2" s="1033"/>
      <c r="HF2" s="1033"/>
      <c r="HG2" s="1033"/>
      <c r="HH2" s="1033"/>
      <c r="HI2" s="1033"/>
      <c r="HJ2" s="1033"/>
      <c r="HK2" s="1033"/>
      <c r="HL2" s="1033"/>
      <c r="HM2" s="1033"/>
      <c r="HN2" s="1033"/>
      <c r="HO2" s="1033"/>
      <c r="HP2" s="1033"/>
      <c r="HQ2" s="1033"/>
      <c r="HR2" s="1033"/>
      <c r="HS2" s="1033"/>
      <c r="HT2" s="1033"/>
      <c r="HU2" s="1033"/>
      <c r="HV2" s="1033"/>
      <c r="HW2" s="1033"/>
      <c r="HX2" s="1033"/>
      <c r="HY2" s="1033"/>
      <c r="HZ2" s="1033"/>
      <c r="IA2" s="1033"/>
      <c r="IB2" s="1033"/>
      <c r="IC2" s="1033"/>
      <c r="ID2" s="1033"/>
      <c r="IE2" s="1033"/>
      <c r="IF2" s="1033"/>
      <c r="IG2" s="1033"/>
      <c r="IH2" s="1033"/>
      <c r="II2" s="1033"/>
      <c r="IJ2" s="1033"/>
      <c r="IK2" s="1033"/>
      <c r="IL2" s="1033"/>
      <c r="IM2" s="1033"/>
      <c r="IN2" s="1033"/>
      <c r="IO2" s="1033"/>
      <c r="IP2" s="1033"/>
      <c r="IQ2" s="1033"/>
      <c r="IR2" s="1033"/>
      <c r="IS2" s="1033"/>
      <c r="IT2" s="1033"/>
      <c r="IU2" s="1033"/>
      <c r="IV2" s="1033"/>
    </row>
    <row r="3" spans="1:256" ht="12.75" customHeight="1" thickTop="1" x14ac:dyDescent="0.3"/>
    <row r="4" spans="1:256" s="386" customFormat="1" ht="8.9" customHeight="1" x14ac:dyDescent="0.25">
      <c r="A4" s="795" t="s">
        <v>1057</v>
      </c>
      <c r="B4" s="385"/>
      <c r="C4" s="385"/>
      <c r="D4" s="385"/>
      <c r="E4" s="385"/>
      <c r="F4" s="385"/>
      <c r="G4" s="385"/>
      <c r="H4" s="385"/>
      <c r="I4" s="385"/>
      <c r="J4" s="385"/>
      <c r="K4" s="385"/>
    </row>
    <row r="5" spans="1:256" s="387" customFormat="1" ht="17.149999999999999" customHeight="1" x14ac:dyDescent="0.25">
      <c r="A5" s="796" t="s">
        <v>1058</v>
      </c>
      <c r="B5" s="1034" t="s">
        <v>1059</v>
      </c>
      <c r="C5" s="1034"/>
      <c r="D5" s="1034"/>
      <c r="E5" s="1034"/>
      <c r="F5" s="1034"/>
      <c r="G5" s="1034"/>
      <c r="H5" s="1034"/>
      <c r="I5" s="1034"/>
      <c r="J5" s="1034"/>
      <c r="K5" s="1034"/>
    </row>
    <row r="6" spans="1:256" s="387" customFormat="1" ht="18" customHeight="1" x14ac:dyDescent="0.25">
      <c r="A6" s="796" t="s">
        <v>1060</v>
      </c>
      <c r="B6" s="1034" t="s">
        <v>1061</v>
      </c>
      <c r="C6" s="1034"/>
      <c r="D6" s="1034"/>
      <c r="E6" s="1034"/>
      <c r="F6" s="1034"/>
      <c r="G6" s="1034"/>
      <c r="H6" s="1034"/>
      <c r="I6" s="1034"/>
      <c r="J6" s="1034"/>
      <c r="K6" s="1034"/>
    </row>
    <row r="7" spans="1:256" s="387" customFormat="1" ht="9" x14ac:dyDescent="0.25">
      <c r="A7" s="796" t="s">
        <v>1062</v>
      </c>
      <c r="B7" s="388" t="s">
        <v>1063</v>
      </c>
      <c r="C7" s="388"/>
      <c r="D7" s="388"/>
      <c r="E7" s="388"/>
      <c r="F7" s="388"/>
      <c r="G7" s="388"/>
      <c r="H7" s="388"/>
      <c r="I7" s="388"/>
      <c r="J7" s="388"/>
      <c r="K7" s="388"/>
    </row>
    <row r="8" spans="1:256" s="386" customFormat="1" ht="9" x14ac:dyDescent="0.25">
      <c r="A8" s="795" t="s">
        <v>1064</v>
      </c>
      <c r="B8" s="385"/>
      <c r="C8" s="385"/>
      <c r="D8" s="385"/>
      <c r="E8" s="385"/>
      <c r="F8" s="385"/>
      <c r="G8" s="385"/>
      <c r="H8" s="385"/>
      <c r="I8" s="385"/>
      <c r="J8" s="385"/>
      <c r="K8" s="385"/>
    </row>
    <row r="9" spans="1:256" s="387" customFormat="1" ht="9" x14ac:dyDescent="0.25">
      <c r="A9" s="796" t="s">
        <v>1058</v>
      </c>
      <c r="B9" s="1034" t="s">
        <v>1065</v>
      </c>
      <c r="C9" s="1034"/>
      <c r="D9" s="1034"/>
      <c r="E9" s="1034"/>
      <c r="F9" s="1034"/>
      <c r="G9" s="1034"/>
      <c r="H9" s="1034"/>
      <c r="I9" s="1034"/>
      <c r="J9" s="1034"/>
      <c r="K9" s="1034"/>
    </row>
    <row r="10" spans="1:256" s="387" customFormat="1" ht="19.5" customHeight="1" x14ac:dyDescent="0.25">
      <c r="A10" s="796" t="s">
        <v>1060</v>
      </c>
      <c r="B10" s="1034" t="s">
        <v>1066</v>
      </c>
      <c r="C10" s="1034"/>
      <c r="D10" s="1034"/>
      <c r="E10" s="1034"/>
      <c r="F10" s="1034"/>
      <c r="G10" s="1034"/>
      <c r="H10" s="1034"/>
      <c r="I10" s="1034"/>
      <c r="J10" s="1034"/>
      <c r="K10" s="1034"/>
    </row>
    <row r="11" spans="1:256" s="386" customFormat="1" ht="9" x14ac:dyDescent="0.25">
      <c r="A11" s="795" t="s">
        <v>1067</v>
      </c>
      <c r="B11" s="385"/>
      <c r="C11" s="385"/>
      <c r="D11" s="385"/>
      <c r="E11" s="385"/>
      <c r="F11" s="385"/>
      <c r="G11" s="385"/>
      <c r="H11" s="385"/>
      <c r="I11" s="385"/>
      <c r="J11" s="385"/>
      <c r="K11" s="385"/>
    </row>
    <row r="12" spans="1:256" s="387" customFormat="1" ht="18.649999999999999" customHeight="1" x14ac:dyDescent="0.25">
      <c r="A12" s="796" t="s">
        <v>1058</v>
      </c>
      <c r="B12" s="1034" t="s">
        <v>1068</v>
      </c>
      <c r="C12" s="1034"/>
      <c r="D12" s="1034"/>
      <c r="E12" s="1034"/>
      <c r="F12" s="1034"/>
      <c r="G12" s="1034"/>
      <c r="H12" s="1034"/>
      <c r="I12" s="1034"/>
      <c r="J12" s="1034"/>
      <c r="K12" s="1034"/>
    </row>
    <row r="13" spans="1:256" s="387" customFormat="1" ht="9" x14ac:dyDescent="0.25">
      <c r="A13" s="796" t="s">
        <v>1060</v>
      </c>
      <c r="B13" s="389" t="s">
        <v>1069</v>
      </c>
      <c r="C13" s="389"/>
      <c r="D13" s="389"/>
      <c r="E13" s="389"/>
      <c r="F13" s="389"/>
      <c r="G13" s="389"/>
      <c r="H13" s="389"/>
      <c r="I13" s="389"/>
      <c r="J13" s="389"/>
      <c r="K13" s="389"/>
    </row>
    <row r="14" spans="1:256" s="386" customFormat="1" ht="8.9" customHeight="1" x14ac:dyDescent="0.25">
      <c r="A14" s="795" t="s">
        <v>1070</v>
      </c>
      <c r="B14" s="385"/>
      <c r="C14" s="385"/>
      <c r="D14" s="385"/>
      <c r="E14" s="385"/>
      <c r="F14" s="385"/>
      <c r="G14" s="385"/>
      <c r="H14" s="385"/>
      <c r="I14" s="385"/>
      <c r="J14" s="385"/>
      <c r="K14" s="385"/>
    </row>
    <row r="15" spans="1:256" s="387" customFormat="1" ht="27.65" customHeight="1" x14ac:dyDescent="0.25">
      <c r="A15" s="797"/>
      <c r="B15" s="1034" t="s">
        <v>1071</v>
      </c>
      <c r="C15" s="1034"/>
      <c r="D15" s="1034"/>
      <c r="E15" s="1034"/>
      <c r="F15" s="1034"/>
      <c r="G15" s="1034"/>
      <c r="H15" s="1034"/>
      <c r="I15" s="1034"/>
      <c r="J15" s="1034"/>
      <c r="K15" s="1034"/>
    </row>
    <row r="16" spans="1:256" s="386" customFormat="1" ht="8.9" customHeight="1" x14ac:dyDescent="0.25">
      <c r="A16" s="795" t="s">
        <v>1072</v>
      </c>
      <c r="B16" s="385"/>
      <c r="C16" s="385"/>
      <c r="D16" s="385"/>
      <c r="E16" s="385"/>
      <c r="F16" s="385"/>
      <c r="G16" s="385"/>
      <c r="H16" s="385"/>
      <c r="I16" s="385"/>
      <c r="J16" s="385"/>
      <c r="K16" s="385"/>
      <c r="M16" s="386" t="s">
        <v>1073</v>
      </c>
    </row>
    <row r="17" spans="1:14" s="387" customFormat="1" ht="19.5" customHeight="1" x14ac:dyDescent="0.25">
      <c r="A17" s="796" t="s">
        <v>1058</v>
      </c>
      <c r="B17" s="1034" t="s">
        <v>1074</v>
      </c>
      <c r="C17" s="1034"/>
      <c r="D17" s="1034"/>
      <c r="E17" s="1034"/>
      <c r="F17" s="1034"/>
      <c r="G17" s="1034"/>
      <c r="H17" s="1034"/>
      <c r="I17" s="1034"/>
      <c r="J17" s="1034"/>
      <c r="K17" s="1034"/>
    </row>
    <row r="18" spans="1:14" s="387" customFormat="1" ht="17.149999999999999" customHeight="1" x14ac:dyDescent="0.25">
      <c r="A18" s="796" t="s">
        <v>1060</v>
      </c>
      <c r="B18" s="1034" t="s">
        <v>1075</v>
      </c>
      <c r="C18" s="1034"/>
      <c r="D18" s="1034"/>
      <c r="E18" s="1034"/>
      <c r="F18" s="1034"/>
      <c r="G18" s="1034"/>
      <c r="H18" s="1034"/>
      <c r="I18" s="1034"/>
      <c r="J18" s="1034"/>
      <c r="K18" s="1034"/>
    </row>
    <row r="19" spans="1:14" s="386" customFormat="1" ht="8.9" customHeight="1" x14ac:dyDescent="0.25">
      <c r="A19" s="795" t="s">
        <v>1076</v>
      </c>
      <c r="B19" s="385"/>
      <c r="C19" s="385"/>
      <c r="D19" s="385"/>
      <c r="E19" s="385"/>
      <c r="F19" s="385"/>
      <c r="G19" s="385"/>
      <c r="H19" s="385"/>
      <c r="I19" s="385"/>
      <c r="J19" s="385"/>
      <c r="K19" s="385"/>
    </row>
    <row r="20" spans="1:14" s="387" customFormat="1" ht="18" customHeight="1" x14ac:dyDescent="0.25">
      <c r="A20" s="797"/>
      <c r="B20" s="1034" t="s">
        <v>1077</v>
      </c>
      <c r="C20" s="1034"/>
      <c r="D20" s="1034"/>
      <c r="E20" s="1034"/>
      <c r="F20" s="1034"/>
      <c r="G20" s="1034"/>
      <c r="H20" s="1034"/>
      <c r="I20" s="1034"/>
      <c r="J20" s="1034"/>
      <c r="K20" s="1034"/>
    </row>
    <row r="21" spans="1:14" s="386" customFormat="1" ht="9" x14ac:dyDescent="0.25">
      <c r="A21" s="795" t="s">
        <v>1078</v>
      </c>
      <c r="B21" s="385"/>
      <c r="C21" s="385"/>
      <c r="D21" s="385"/>
      <c r="E21" s="385"/>
      <c r="F21" s="385"/>
      <c r="G21" s="385"/>
      <c r="H21" s="385"/>
      <c r="I21" s="385"/>
      <c r="J21" s="385"/>
      <c r="K21" s="385"/>
    </row>
    <row r="22" spans="1:14" s="387" customFormat="1" ht="9" x14ac:dyDescent="0.25">
      <c r="A22" s="796" t="s">
        <v>1058</v>
      </c>
      <c r="B22" s="389" t="s">
        <v>1079</v>
      </c>
      <c r="C22" s="389"/>
      <c r="D22" s="389"/>
      <c r="E22" s="389"/>
      <c r="F22" s="389"/>
      <c r="G22" s="389"/>
      <c r="H22" s="389"/>
      <c r="I22" s="389"/>
      <c r="J22" s="389"/>
      <c r="K22" s="389"/>
    </row>
    <row r="23" spans="1:14" s="387" customFormat="1" ht="9" x14ac:dyDescent="0.25">
      <c r="A23" s="796" t="s">
        <v>1060</v>
      </c>
      <c r="B23" s="1034" t="s">
        <v>1080</v>
      </c>
      <c r="C23" s="1034"/>
      <c r="D23" s="1034"/>
      <c r="E23" s="1034"/>
      <c r="F23" s="1034"/>
      <c r="G23" s="1034"/>
      <c r="H23" s="1034"/>
      <c r="I23" s="1034"/>
      <c r="J23" s="1034"/>
      <c r="K23" s="1034"/>
    </row>
    <row r="24" spans="1:14" s="387" customFormat="1" ht="9" x14ac:dyDescent="0.25">
      <c r="A24" s="796" t="s">
        <v>1062</v>
      </c>
      <c r="B24" s="1034" t="s">
        <v>1081</v>
      </c>
      <c r="C24" s="1034"/>
      <c r="D24" s="1034"/>
      <c r="E24" s="1034"/>
      <c r="F24" s="1034"/>
      <c r="G24" s="1034"/>
      <c r="H24" s="1034"/>
      <c r="I24" s="1034"/>
      <c r="J24" s="1034"/>
      <c r="K24" s="1034"/>
    </row>
    <row r="25" spans="1:14" s="387" customFormat="1" ht="20.149999999999999" customHeight="1" x14ac:dyDescent="0.25">
      <c r="A25" s="796" t="s">
        <v>1082</v>
      </c>
      <c r="B25" s="1034" t="s">
        <v>1083</v>
      </c>
      <c r="C25" s="1034"/>
      <c r="D25" s="1034"/>
      <c r="E25" s="1034"/>
      <c r="F25" s="1034"/>
      <c r="G25" s="1034"/>
      <c r="H25" s="1034"/>
      <c r="I25" s="1034"/>
      <c r="J25" s="1034"/>
      <c r="K25" s="1034"/>
      <c r="N25" s="387" t="s">
        <v>1073</v>
      </c>
    </row>
    <row r="26" spans="1:14" s="387" customFormat="1" ht="9" x14ac:dyDescent="0.25">
      <c r="A26" s="796" t="s">
        <v>1084</v>
      </c>
      <c r="B26" s="389" t="s">
        <v>1085</v>
      </c>
      <c r="C26" s="389"/>
      <c r="D26" s="389"/>
      <c r="E26" s="389"/>
      <c r="F26" s="389"/>
      <c r="G26" s="389"/>
      <c r="H26" s="389"/>
      <c r="I26" s="389"/>
      <c r="J26" s="389"/>
      <c r="K26" s="389"/>
    </row>
    <row r="27" spans="1:14" s="387" customFormat="1" ht="9" x14ac:dyDescent="0.25">
      <c r="A27" s="796" t="s">
        <v>1086</v>
      </c>
      <c r="B27" s="1034" t="s">
        <v>1087</v>
      </c>
      <c r="C27" s="1034"/>
      <c r="D27" s="1034"/>
      <c r="E27" s="1034"/>
      <c r="F27" s="1034"/>
      <c r="G27" s="1034"/>
      <c r="H27" s="1034"/>
      <c r="I27" s="1034"/>
      <c r="J27" s="1034"/>
      <c r="K27" s="1034"/>
    </row>
    <row r="28" spans="1:14" s="387" customFormat="1" ht="19" customHeight="1" x14ac:dyDescent="0.25">
      <c r="A28" s="796" t="s">
        <v>1088</v>
      </c>
      <c r="B28" s="1034" t="s">
        <v>1089</v>
      </c>
      <c r="C28" s="1034"/>
      <c r="D28" s="1034"/>
      <c r="E28" s="1034"/>
      <c r="F28" s="1034"/>
      <c r="G28" s="1034"/>
      <c r="H28" s="1034"/>
      <c r="I28" s="1034"/>
      <c r="J28" s="1034"/>
      <c r="K28" s="1034"/>
    </row>
    <row r="29" spans="1:14" s="386" customFormat="1" ht="8.9" customHeight="1" x14ac:dyDescent="0.25">
      <c r="A29" s="795" t="s">
        <v>1090</v>
      </c>
      <c r="B29" s="385"/>
      <c r="C29" s="385"/>
      <c r="D29" s="385"/>
      <c r="E29" s="385"/>
      <c r="F29" s="385"/>
      <c r="G29" s="385"/>
      <c r="H29" s="385"/>
      <c r="I29" s="385"/>
      <c r="J29" s="385"/>
      <c r="K29" s="385"/>
    </row>
    <row r="30" spans="1:14" s="387" customFormat="1" ht="27" customHeight="1" x14ac:dyDescent="0.25">
      <c r="A30" s="796" t="s">
        <v>1058</v>
      </c>
      <c r="B30" s="1034" t="s">
        <v>1091</v>
      </c>
      <c r="C30" s="1034"/>
      <c r="D30" s="1034"/>
      <c r="E30" s="1034"/>
      <c r="F30" s="1034"/>
      <c r="G30" s="1034"/>
      <c r="H30" s="1034"/>
      <c r="I30" s="1034"/>
      <c r="J30" s="1034"/>
      <c r="K30" s="1034"/>
    </row>
    <row r="31" spans="1:14" s="387" customFormat="1" ht="18.649999999999999" customHeight="1" x14ac:dyDescent="0.25">
      <c r="A31" s="796" t="s">
        <v>1060</v>
      </c>
      <c r="B31" s="1034" t="s">
        <v>1092</v>
      </c>
      <c r="C31" s="1034"/>
      <c r="D31" s="1034"/>
      <c r="E31" s="1034"/>
      <c r="F31" s="1034"/>
      <c r="G31" s="1034"/>
      <c r="H31" s="1034"/>
      <c r="I31" s="1034"/>
      <c r="J31" s="1034"/>
      <c r="K31" s="1034"/>
    </row>
    <row r="32" spans="1:14" s="387" customFormat="1" ht="9" x14ac:dyDescent="0.25">
      <c r="A32" s="796" t="s">
        <v>1062</v>
      </c>
      <c r="B32" s="388" t="s">
        <v>1093</v>
      </c>
      <c r="C32" s="388"/>
      <c r="D32" s="388"/>
      <c r="E32" s="388"/>
      <c r="F32" s="388"/>
      <c r="G32" s="388"/>
      <c r="H32" s="388"/>
      <c r="I32" s="388"/>
      <c r="J32" s="388"/>
      <c r="K32" s="388"/>
    </row>
    <row r="33" spans="1:11" s="386" customFormat="1" ht="8.9" customHeight="1" x14ac:dyDescent="0.25">
      <c r="A33" s="795" t="s">
        <v>1094</v>
      </c>
      <c r="B33" s="385"/>
      <c r="C33" s="385"/>
      <c r="D33" s="385"/>
      <c r="E33" s="385"/>
      <c r="F33" s="385"/>
      <c r="G33" s="385"/>
      <c r="H33" s="385"/>
      <c r="I33" s="385"/>
      <c r="J33" s="385"/>
      <c r="K33" s="385"/>
    </row>
    <row r="34" spans="1:11" s="387" customFormat="1" ht="9" customHeight="1" x14ac:dyDescent="0.25">
      <c r="A34" s="797"/>
      <c r="B34" s="1034" t="s">
        <v>1095</v>
      </c>
      <c r="C34" s="1034"/>
      <c r="D34" s="1034"/>
      <c r="E34" s="1034"/>
      <c r="F34" s="1034"/>
      <c r="G34" s="1034"/>
      <c r="H34" s="1034"/>
      <c r="I34" s="1034"/>
      <c r="J34" s="1034"/>
      <c r="K34" s="1034"/>
    </row>
    <row r="35" spans="1:11" s="386" customFormat="1" ht="8.9" customHeight="1" x14ac:dyDescent="0.25">
      <c r="A35" s="795" t="s">
        <v>1096</v>
      </c>
      <c r="B35" s="385"/>
      <c r="C35" s="385"/>
      <c r="D35" s="385"/>
      <c r="E35" s="385"/>
      <c r="F35" s="385"/>
      <c r="G35" s="385"/>
      <c r="H35" s="385"/>
      <c r="I35" s="385"/>
      <c r="J35" s="385"/>
      <c r="K35" s="385"/>
    </row>
    <row r="36" spans="1:11" s="387" customFormat="1" ht="18.649999999999999" customHeight="1" x14ac:dyDescent="0.25">
      <c r="A36" s="797"/>
      <c r="B36" s="1034" t="s">
        <v>1097</v>
      </c>
      <c r="C36" s="1034"/>
      <c r="D36" s="1034"/>
      <c r="E36" s="1034"/>
      <c r="F36" s="1034"/>
      <c r="G36" s="1034"/>
      <c r="H36" s="1034"/>
      <c r="I36" s="1034"/>
      <c r="J36" s="1034"/>
      <c r="K36" s="1034"/>
    </row>
    <row r="37" spans="1:11" s="386" customFormat="1" ht="9" x14ac:dyDescent="0.25">
      <c r="A37" s="795" t="s">
        <v>1098</v>
      </c>
      <c r="B37" s="385"/>
      <c r="C37" s="385"/>
      <c r="D37" s="385"/>
      <c r="E37" s="385"/>
      <c r="F37" s="385"/>
      <c r="G37" s="385"/>
      <c r="H37" s="385"/>
      <c r="I37" s="385"/>
      <c r="J37" s="385"/>
      <c r="K37" s="385"/>
    </row>
    <row r="38" spans="1:11" s="387" customFormat="1" ht="18.649999999999999" customHeight="1" x14ac:dyDescent="0.25">
      <c r="A38" s="797"/>
      <c r="B38" s="1034" t="s">
        <v>1099</v>
      </c>
      <c r="C38" s="1034"/>
      <c r="D38" s="1034"/>
      <c r="E38" s="1034"/>
      <c r="F38" s="1034"/>
      <c r="G38" s="1034"/>
      <c r="H38" s="1034"/>
      <c r="I38" s="1034"/>
      <c r="J38" s="1034"/>
      <c r="K38" s="1034"/>
    </row>
    <row r="39" spans="1:11" s="386" customFormat="1" ht="9" x14ac:dyDescent="0.25">
      <c r="A39" s="795" t="s">
        <v>1100</v>
      </c>
      <c r="B39" s="385"/>
      <c r="C39" s="385"/>
      <c r="D39" s="385"/>
      <c r="E39" s="385"/>
      <c r="F39" s="385"/>
      <c r="G39" s="385"/>
      <c r="H39" s="385"/>
      <c r="I39" s="385"/>
      <c r="J39" s="385"/>
      <c r="K39" s="385"/>
    </row>
    <row r="40" spans="1:11" s="387" customFormat="1" ht="9" x14ac:dyDescent="0.25">
      <c r="A40" s="797"/>
      <c r="B40" s="1035" t="s">
        <v>1101</v>
      </c>
      <c r="C40" s="1035"/>
      <c r="D40" s="1035"/>
      <c r="E40" s="1035"/>
      <c r="F40" s="1035"/>
      <c r="G40" s="1035"/>
      <c r="H40" s="1035"/>
      <c r="I40" s="1035"/>
      <c r="J40" s="1035"/>
      <c r="K40" s="1035"/>
    </row>
    <row r="41" spans="1:11" s="386" customFormat="1" ht="8.9" customHeight="1" x14ac:dyDescent="0.25">
      <c r="A41" s="795" t="s">
        <v>1102</v>
      </c>
      <c r="B41" s="385"/>
      <c r="C41" s="385"/>
      <c r="D41" s="385"/>
      <c r="E41" s="385"/>
      <c r="F41" s="385"/>
      <c r="G41" s="385"/>
      <c r="H41" s="385"/>
      <c r="I41" s="385"/>
      <c r="J41" s="385"/>
      <c r="K41" s="385"/>
    </row>
    <row r="42" spans="1:11" s="387" customFormat="1" ht="20.149999999999999" customHeight="1" x14ac:dyDescent="0.25">
      <c r="A42" s="796" t="s">
        <v>1058</v>
      </c>
      <c r="B42" s="1034" t="s">
        <v>1103</v>
      </c>
      <c r="C42" s="1034"/>
      <c r="D42" s="1034"/>
      <c r="E42" s="1034"/>
      <c r="F42" s="1034"/>
      <c r="G42" s="1034"/>
      <c r="H42" s="1034"/>
      <c r="I42" s="1034"/>
      <c r="J42" s="1034"/>
      <c r="K42" s="1034"/>
    </row>
    <row r="43" spans="1:11" s="387" customFormat="1" ht="10" customHeight="1" x14ac:dyDescent="0.25">
      <c r="A43" s="796" t="s">
        <v>1060</v>
      </c>
      <c r="B43" s="389" t="s">
        <v>1104</v>
      </c>
      <c r="C43" s="389"/>
      <c r="D43" s="389"/>
      <c r="E43" s="389"/>
      <c r="F43" s="389"/>
      <c r="G43" s="389"/>
      <c r="H43" s="389"/>
      <c r="I43" s="389"/>
      <c r="J43" s="389"/>
      <c r="K43" s="389"/>
    </row>
    <row r="44" spans="1:11" s="386" customFormat="1" ht="8.9" customHeight="1" x14ac:dyDescent="0.25">
      <c r="A44" s="795" t="s">
        <v>1105</v>
      </c>
      <c r="B44" s="385"/>
      <c r="C44" s="385"/>
      <c r="D44" s="385"/>
      <c r="E44" s="385"/>
      <c r="F44" s="385"/>
      <c r="G44" s="385"/>
      <c r="H44" s="385"/>
      <c r="I44" s="385"/>
      <c r="J44" s="385"/>
      <c r="K44" s="385"/>
    </row>
    <row r="45" spans="1:11" s="387" customFormat="1" ht="9" x14ac:dyDescent="0.25">
      <c r="A45" s="797"/>
      <c r="B45" s="389" t="s">
        <v>1106</v>
      </c>
      <c r="C45" s="389"/>
      <c r="D45" s="389"/>
      <c r="E45" s="389"/>
      <c r="F45" s="389"/>
      <c r="G45" s="389"/>
      <c r="H45" s="389"/>
      <c r="I45" s="389"/>
      <c r="J45" s="389"/>
      <c r="K45" s="389"/>
    </row>
    <row r="46" spans="1:11" s="387" customFormat="1" ht="9" x14ac:dyDescent="0.25">
      <c r="A46" s="797"/>
      <c r="B46" s="1034" t="s">
        <v>1107</v>
      </c>
      <c r="C46" s="1034"/>
      <c r="D46" s="1034"/>
      <c r="E46" s="1034"/>
      <c r="F46" s="1034"/>
      <c r="G46" s="1034"/>
      <c r="H46" s="1034"/>
      <c r="I46" s="1034"/>
      <c r="J46" s="1034"/>
      <c r="K46" s="1034"/>
    </row>
    <row r="47" spans="1:11" s="386" customFormat="1" ht="8.9" customHeight="1" x14ac:dyDescent="0.25">
      <c r="A47" s="795" t="s">
        <v>1108</v>
      </c>
      <c r="B47" s="385"/>
      <c r="C47" s="385"/>
      <c r="D47" s="385"/>
      <c r="E47" s="385"/>
      <c r="F47" s="385"/>
      <c r="G47" s="385"/>
      <c r="H47" s="385"/>
      <c r="I47" s="385"/>
      <c r="J47" s="385"/>
      <c r="K47" s="385"/>
    </row>
    <row r="48" spans="1:11" s="387" customFormat="1" ht="9" x14ac:dyDescent="0.25">
      <c r="A48" s="796" t="s">
        <v>1058</v>
      </c>
      <c r="B48" s="1034" t="s">
        <v>1109</v>
      </c>
      <c r="C48" s="1034"/>
      <c r="D48" s="1034"/>
      <c r="E48" s="1034"/>
      <c r="F48" s="1034"/>
      <c r="G48" s="1034"/>
      <c r="H48" s="1034"/>
      <c r="I48" s="1034"/>
      <c r="J48" s="1034"/>
      <c r="K48" s="1034"/>
    </row>
    <row r="49" spans="1:11" s="387" customFormat="1" ht="18" customHeight="1" x14ac:dyDescent="0.25">
      <c r="A49" s="796" t="s">
        <v>1060</v>
      </c>
      <c r="B49" s="1034" t="s">
        <v>1110</v>
      </c>
      <c r="C49" s="1034"/>
      <c r="D49" s="1034"/>
      <c r="E49" s="1034"/>
      <c r="F49" s="1034"/>
      <c r="G49" s="1034"/>
      <c r="H49" s="1034"/>
      <c r="I49" s="1034"/>
      <c r="J49" s="1034"/>
      <c r="K49" s="1034"/>
    </row>
    <row r="50" spans="1:11" s="387" customFormat="1" ht="27" customHeight="1" x14ac:dyDescent="0.25">
      <c r="A50" s="796" t="s">
        <v>1062</v>
      </c>
      <c r="B50" s="1034" t="s">
        <v>1111</v>
      </c>
      <c r="C50" s="1034"/>
      <c r="D50" s="1034"/>
      <c r="E50" s="1034"/>
      <c r="F50" s="1034"/>
      <c r="G50" s="1034"/>
      <c r="H50" s="1034"/>
      <c r="I50" s="1034"/>
      <c r="J50" s="1034"/>
      <c r="K50" s="1034"/>
    </row>
    <row r="51" spans="1:11" s="386" customFormat="1" ht="8.9" customHeight="1" x14ac:dyDescent="0.25">
      <c r="A51" s="795" t="s">
        <v>1112</v>
      </c>
      <c r="B51" s="385"/>
      <c r="C51" s="385"/>
      <c r="D51" s="385"/>
      <c r="E51" s="385"/>
      <c r="F51" s="385"/>
      <c r="G51" s="385"/>
      <c r="H51" s="385"/>
      <c r="I51" s="385"/>
      <c r="J51" s="385"/>
      <c r="K51" s="385"/>
    </row>
    <row r="52" spans="1:11" s="387" customFormat="1" ht="9" x14ac:dyDescent="0.25">
      <c r="A52" s="797"/>
      <c r="B52" s="388" t="s">
        <v>1113</v>
      </c>
      <c r="C52" s="388"/>
      <c r="D52" s="388"/>
      <c r="E52" s="388"/>
      <c r="F52" s="388"/>
      <c r="G52" s="388"/>
      <c r="H52" s="388"/>
      <c r="I52" s="388"/>
      <c r="J52" s="388"/>
      <c r="K52" s="388"/>
    </row>
    <row r="53" spans="1:11" s="386" customFormat="1" ht="8.9" customHeight="1" x14ac:dyDescent="0.25">
      <c r="A53" s="795" t="s">
        <v>1114</v>
      </c>
      <c r="B53" s="385"/>
      <c r="C53" s="385"/>
      <c r="D53" s="385"/>
      <c r="E53" s="385"/>
      <c r="F53" s="385"/>
      <c r="G53" s="385"/>
      <c r="H53" s="385"/>
      <c r="I53" s="385"/>
      <c r="J53" s="385"/>
      <c r="K53" s="385"/>
    </row>
    <row r="54" spans="1:11" s="387" customFormat="1" ht="9" x14ac:dyDescent="0.25">
      <c r="A54" s="797"/>
      <c r="B54" s="1034" t="s">
        <v>1115</v>
      </c>
      <c r="C54" s="1034"/>
      <c r="D54" s="1034"/>
      <c r="E54" s="1034"/>
      <c r="F54" s="1034"/>
      <c r="G54" s="1034"/>
      <c r="H54" s="1034"/>
      <c r="I54" s="1034"/>
      <c r="J54" s="1034"/>
      <c r="K54" s="1034"/>
    </row>
    <row r="55" spans="1:11" s="386" customFormat="1" ht="8.9" customHeight="1" x14ac:dyDescent="0.25">
      <c r="A55" s="795" t="s">
        <v>1116</v>
      </c>
      <c r="B55" s="385"/>
      <c r="C55" s="385"/>
      <c r="D55" s="385"/>
      <c r="E55" s="385"/>
      <c r="F55" s="385"/>
      <c r="G55" s="385"/>
      <c r="H55" s="385"/>
      <c r="I55" s="385"/>
      <c r="J55" s="385"/>
      <c r="K55" s="385"/>
    </row>
    <row r="56" spans="1:11" s="387" customFormat="1" ht="20.149999999999999" customHeight="1" x14ac:dyDescent="0.25">
      <c r="A56" s="797"/>
      <c r="B56" s="1034" t="s">
        <v>1117</v>
      </c>
      <c r="C56" s="1034"/>
      <c r="D56" s="1034"/>
      <c r="E56" s="1034"/>
      <c r="F56" s="1034"/>
      <c r="G56" s="1034"/>
      <c r="H56" s="1034"/>
      <c r="I56" s="1034"/>
      <c r="J56" s="1034"/>
      <c r="K56" s="1034"/>
    </row>
    <row r="57" spans="1:11" s="360" customFormat="1" ht="8.9" customHeight="1" x14ac:dyDescent="0.3">
      <c r="A57" s="795" t="s">
        <v>1118</v>
      </c>
      <c r="B57" s="385"/>
      <c r="C57" s="385"/>
      <c r="D57" s="385"/>
      <c r="E57" s="385"/>
      <c r="F57" s="385"/>
      <c r="G57" s="385"/>
      <c r="H57" s="385"/>
      <c r="I57" s="385"/>
      <c r="J57" s="385"/>
      <c r="K57" s="385"/>
    </row>
    <row r="58" spans="1:11" ht="20.149999999999999" customHeight="1" x14ac:dyDescent="0.3">
      <c r="A58" s="797"/>
      <c r="B58" s="1034" t="s">
        <v>1119</v>
      </c>
      <c r="C58" s="1034"/>
      <c r="D58" s="1034"/>
      <c r="E58" s="1034"/>
      <c r="F58" s="1034"/>
      <c r="G58" s="1034"/>
      <c r="H58" s="1034"/>
      <c r="I58" s="1034"/>
      <c r="J58" s="1034"/>
      <c r="K58" s="1034"/>
    </row>
    <row r="59" spans="1:11" ht="18" customHeight="1" x14ac:dyDescent="0.3">
      <c r="A59" s="797"/>
      <c r="B59" s="1034" t="s">
        <v>1120</v>
      </c>
      <c r="C59" s="1034"/>
      <c r="D59" s="1034"/>
      <c r="E59" s="1034"/>
      <c r="F59" s="1034"/>
      <c r="G59" s="1034"/>
      <c r="H59" s="1034"/>
      <c r="I59" s="1034"/>
      <c r="J59" s="1034"/>
      <c r="K59" s="1034"/>
    </row>
    <row r="60" spans="1:11" s="360" customFormat="1" ht="8.9" customHeight="1" x14ac:dyDescent="0.3">
      <c r="A60" s="795" t="s">
        <v>1121</v>
      </c>
      <c r="B60" s="385"/>
      <c r="C60" s="385"/>
      <c r="D60" s="385"/>
      <c r="E60" s="385"/>
      <c r="F60" s="385"/>
      <c r="G60" s="385"/>
      <c r="H60" s="385"/>
      <c r="I60" s="385"/>
      <c r="J60" s="385"/>
      <c r="K60" s="385"/>
    </row>
    <row r="61" spans="1:11" ht="9" customHeight="1" x14ac:dyDescent="0.3">
      <c r="A61" s="796" t="s">
        <v>1058</v>
      </c>
      <c r="B61" s="1036" t="s">
        <v>1122</v>
      </c>
      <c r="C61" s="1036"/>
      <c r="D61" s="1036"/>
      <c r="E61" s="1036"/>
      <c r="F61" s="1036"/>
      <c r="G61" s="1036"/>
      <c r="H61" s="1036"/>
      <c r="I61" s="1036"/>
      <c r="J61" s="1036"/>
      <c r="K61" s="1036"/>
    </row>
    <row r="62" spans="1:11" ht="18.649999999999999" customHeight="1" x14ac:dyDescent="0.3">
      <c r="A62" s="796" t="s">
        <v>1060</v>
      </c>
      <c r="B62" s="1034" t="s">
        <v>1123</v>
      </c>
      <c r="C62" s="1034"/>
      <c r="D62" s="1034"/>
      <c r="E62" s="1034"/>
      <c r="F62" s="1034"/>
      <c r="G62" s="1034"/>
      <c r="H62" s="1034"/>
      <c r="I62" s="1034"/>
      <c r="J62" s="1034"/>
      <c r="K62" s="1034"/>
    </row>
    <row r="63" spans="1:11" s="360" customFormat="1" ht="8.9" customHeight="1" x14ac:dyDescent="0.3">
      <c r="A63" s="795" t="s">
        <v>1124</v>
      </c>
      <c r="B63" s="385"/>
      <c r="C63" s="385"/>
      <c r="D63" s="385"/>
      <c r="E63" s="385"/>
      <c r="F63" s="385"/>
      <c r="G63" s="385"/>
      <c r="H63" s="385"/>
      <c r="I63" s="385"/>
      <c r="J63" s="385"/>
      <c r="K63" s="385"/>
    </row>
    <row r="64" spans="1:11" s="387" customFormat="1" ht="8.9" customHeight="1" x14ac:dyDescent="0.25">
      <c r="A64" s="797"/>
      <c r="B64" s="1035" t="s">
        <v>1125</v>
      </c>
      <c r="C64" s="1035"/>
      <c r="D64" s="1035"/>
      <c r="E64" s="1035"/>
      <c r="F64" s="1035"/>
      <c r="G64" s="1035"/>
      <c r="H64" s="1035"/>
      <c r="I64" s="1035"/>
      <c r="J64" s="1035"/>
      <c r="K64" s="1035"/>
    </row>
    <row r="65" spans="1:11" s="360" customFormat="1" ht="8.9" customHeight="1" x14ac:dyDescent="0.3">
      <c r="A65" s="795" t="s">
        <v>1126</v>
      </c>
      <c r="B65" s="385"/>
      <c r="C65" s="385"/>
      <c r="D65" s="385"/>
      <c r="E65" s="385"/>
      <c r="F65" s="385"/>
      <c r="G65" s="385"/>
      <c r="H65" s="385"/>
      <c r="I65" s="385"/>
      <c r="J65" s="385"/>
      <c r="K65" s="385"/>
    </row>
    <row r="66" spans="1:11" s="387" customFormat="1" ht="18" customHeight="1" x14ac:dyDescent="0.25">
      <c r="A66" s="797"/>
      <c r="B66" s="1034" t="s">
        <v>1127</v>
      </c>
      <c r="C66" s="1034"/>
      <c r="D66" s="1034"/>
      <c r="E66" s="1034"/>
      <c r="F66" s="1034"/>
      <c r="G66" s="1034"/>
      <c r="H66" s="1034"/>
      <c r="I66" s="1034"/>
      <c r="J66" s="1034"/>
      <c r="K66" s="1034"/>
    </row>
    <row r="67" spans="1:11" s="360" customFormat="1" ht="8.9" customHeight="1" x14ac:dyDescent="0.3">
      <c r="A67" s="795" t="s">
        <v>1128</v>
      </c>
      <c r="B67" s="385"/>
      <c r="C67" s="385"/>
      <c r="D67" s="385"/>
      <c r="E67" s="385"/>
      <c r="F67" s="385"/>
      <c r="G67" s="385"/>
      <c r="H67" s="385"/>
      <c r="I67" s="385"/>
      <c r="J67" s="385"/>
      <c r="K67" s="385"/>
    </row>
    <row r="68" spans="1:11" ht="10" customHeight="1" x14ac:dyDescent="0.3">
      <c r="A68" s="797"/>
      <c r="B68" s="388" t="s">
        <v>1129</v>
      </c>
      <c r="C68" s="388"/>
      <c r="D68" s="388"/>
      <c r="E68" s="388"/>
      <c r="F68" s="388"/>
      <c r="G68" s="388"/>
      <c r="H68" s="388"/>
      <c r="I68" s="388"/>
      <c r="J68" s="388"/>
      <c r="K68" s="388"/>
    </row>
    <row r="69" spans="1:11" s="360" customFormat="1" ht="8.9" customHeight="1" x14ac:dyDescent="0.3">
      <c r="A69" s="795" t="s">
        <v>1130</v>
      </c>
      <c r="B69" s="385"/>
      <c r="C69" s="385"/>
      <c r="D69" s="385"/>
      <c r="E69" s="385"/>
      <c r="F69" s="385"/>
      <c r="G69" s="385"/>
      <c r="H69" s="385"/>
      <c r="I69" s="385"/>
      <c r="J69" s="385"/>
      <c r="K69" s="385"/>
    </row>
    <row r="70" spans="1:11" ht="18" customHeight="1" x14ac:dyDescent="0.3">
      <c r="A70" s="797"/>
      <c r="B70" s="1034" t="s">
        <v>1131</v>
      </c>
      <c r="C70" s="1034"/>
      <c r="D70" s="1034"/>
      <c r="E70" s="1034"/>
      <c r="F70" s="1034"/>
      <c r="G70" s="1034"/>
      <c r="H70" s="1034"/>
      <c r="I70" s="1034"/>
      <c r="J70" s="1034"/>
      <c r="K70" s="1034"/>
    </row>
    <row r="71" spans="1:11" s="360" customFormat="1" ht="9.65" customHeight="1" x14ac:dyDescent="0.3">
      <c r="A71" s="795" t="s">
        <v>1132</v>
      </c>
      <c r="B71" s="385"/>
      <c r="C71" s="385"/>
      <c r="D71" s="385"/>
      <c r="E71" s="385"/>
      <c r="F71" s="385"/>
      <c r="G71" s="385"/>
      <c r="H71" s="385"/>
      <c r="I71" s="385"/>
      <c r="J71" s="385"/>
      <c r="K71" s="385"/>
    </row>
    <row r="72" spans="1:11" ht="10.4" customHeight="1" x14ac:dyDescent="0.3">
      <c r="A72" s="796" t="s">
        <v>1058</v>
      </c>
      <c r="B72" s="389" t="s">
        <v>1264</v>
      </c>
      <c r="C72" s="389"/>
      <c r="D72" s="389"/>
      <c r="E72" s="389"/>
      <c r="F72" s="389"/>
      <c r="G72" s="389"/>
      <c r="H72" s="389"/>
      <c r="I72" s="389"/>
      <c r="J72" s="389"/>
      <c r="K72" s="389"/>
    </row>
    <row r="73" spans="1:11" ht="10.4" customHeight="1" x14ac:dyDescent="0.3">
      <c r="A73" s="796" t="s">
        <v>1060</v>
      </c>
      <c r="B73" s="1036" t="s">
        <v>1133</v>
      </c>
      <c r="C73" s="1036"/>
      <c r="D73" s="1036"/>
      <c r="E73" s="1036"/>
      <c r="F73" s="1036"/>
      <c r="G73" s="1036"/>
      <c r="H73" s="1036"/>
      <c r="I73" s="1036"/>
      <c r="J73" s="1036"/>
      <c r="K73" s="1036"/>
    </row>
    <row r="74" spans="1:11" ht="18" customHeight="1" x14ac:dyDescent="0.3">
      <c r="A74" s="796" t="s">
        <v>1062</v>
      </c>
      <c r="B74" s="1035" t="s">
        <v>1134</v>
      </c>
      <c r="C74" s="1035"/>
      <c r="D74" s="1035"/>
      <c r="E74" s="1035"/>
      <c r="F74" s="1035"/>
      <c r="G74" s="1035"/>
      <c r="H74" s="1035"/>
      <c r="I74" s="1035"/>
      <c r="J74" s="1035"/>
      <c r="K74" s="1035"/>
    </row>
    <row r="75" spans="1:11" ht="18" customHeight="1" x14ac:dyDescent="0.3">
      <c r="A75" s="796" t="s">
        <v>1082</v>
      </c>
      <c r="B75" s="390" t="s">
        <v>1135</v>
      </c>
      <c r="C75" s="391"/>
      <c r="D75" s="391"/>
      <c r="E75" s="391"/>
      <c r="F75" s="391"/>
      <c r="G75" s="391"/>
      <c r="H75" s="391"/>
      <c r="I75" s="391"/>
      <c r="J75" s="391"/>
      <c r="K75" s="391"/>
    </row>
    <row r="76" spans="1:11" ht="18" customHeight="1" x14ac:dyDescent="0.3"/>
    <row r="77" spans="1:11" ht="18" customHeight="1" x14ac:dyDescent="0.3">
      <c r="A77" s="796"/>
      <c r="B77" s="392" t="s">
        <v>1136</v>
      </c>
      <c r="C77" s="391"/>
      <c r="D77" s="391"/>
      <c r="E77" s="391"/>
      <c r="F77" s="337"/>
      <c r="G77" s="393" t="s">
        <v>1137</v>
      </c>
      <c r="H77" s="391"/>
      <c r="I77" s="391"/>
      <c r="J77" s="391"/>
      <c r="K77" s="391"/>
    </row>
    <row r="78" spans="1:11" ht="18" customHeight="1" x14ac:dyDescent="0.3">
      <c r="A78" s="796"/>
      <c r="B78" s="277"/>
      <c r="C78" s="394"/>
      <c r="D78" s="394"/>
      <c r="E78" s="394"/>
      <c r="F78" s="394"/>
      <c r="G78" s="394"/>
      <c r="H78" s="394"/>
      <c r="I78" s="394"/>
      <c r="J78" s="394"/>
      <c r="K78" s="394"/>
    </row>
    <row r="79" spans="1:11" ht="16.5" customHeight="1" x14ac:dyDescent="0.3">
      <c r="B79" s="379" t="s">
        <v>894</v>
      </c>
      <c r="C79" s="380" t="str">
        <f>Development!B6&amp;"_"&amp;Version</f>
        <v>1.22.2024_2.0</v>
      </c>
      <c r="D79" s="395"/>
      <c r="E79" s="395"/>
      <c r="F79" s="395"/>
      <c r="G79" s="395"/>
      <c r="H79" s="395"/>
      <c r="I79" s="395"/>
      <c r="J79" s="381" t="s">
        <v>895</v>
      </c>
      <c r="K79" s="382" t="str">
        <f>Development!B6</f>
        <v>1.22.2024</v>
      </c>
    </row>
  </sheetData>
  <sheetProtection algorithmName="SHA-512" hashValue="Ew2ATztDGkyzGl/h1kUmJs+E5mR8o/MtAx4Q04RJ0LDb/Y8KEHawcSeVIsHWrN4Ncf6hNToK+eYHTC3X5eY3Vg==" saltValue="J9dMqglXqJWiwwwVq79+Mw==" spinCount="100000" sheet="1" objects="1" scenarios="1"/>
  <mergeCells count="62">
    <mergeCell ref="B74:K74"/>
    <mergeCell ref="B59:K59"/>
    <mergeCell ref="B61:K61"/>
    <mergeCell ref="B62:K62"/>
    <mergeCell ref="B64:K64"/>
    <mergeCell ref="B66:K66"/>
    <mergeCell ref="B70:K70"/>
    <mergeCell ref="B50:K50"/>
    <mergeCell ref="B54:K54"/>
    <mergeCell ref="B56:K56"/>
    <mergeCell ref="B58:K58"/>
    <mergeCell ref="B73:K73"/>
    <mergeCell ref="B40:K40"/>
    <mergeCell ref="B42:K42"/>
    <mergeCell ref="B46:K46"/>
    <mergeCell ref="B48:K48"/>
    <mergeCell ref="B49:K49"/>
    <mergeCell ref="B30:K30"/>
    <mergeCell ref="B31:K31"/>
    <mergeCell ref="B34:K34"/>
    <mergeCell ref="B36:K36"/>
    <mergeCell ref="B38:K38"/>
    <mergeCell ref="B23:K23"/>
    <mergeCell ref="B24:K24"/>
    <mergeCell ref="B25:K25"/>
    <mergeCell ref="B27:K27"/>
    <mergeCell ref="B28:K28"/>
    <mergeCell ref="B12:K12"/>
    <mergeCell ref="B15:K15"/>
    <mergeCell ref="B17:K17"/>
    <mergeCell ref="B18:K18"/>
    <mergeCell ref="B20:K20"/>
    <mergeCell ref="B10:K10"/>
    <mergeCell ref="FZ2:GI2"/>
    <mergeCell ref="GJ2:GS2"/>
    <mergeCell ref="GT2:HC2"/>
    <mergeCell ref="HD2:HM2"/>
    <mergeCell ref="BJ2:BS2"/>
    <mergeCell ref="BT2:CC2"/>
    <mergeCell ref="CD2:CM2"/>
    <mergeCell ref="CN2:CW2"/>
    <mergeCell ref="IH2:IQ2"/>
    <mergeCell ref="IR2:IV2"/>
    <mergeCell ref="B5:K5"/>
    <mergeCell ref="B6:K6"/>
    <mergeCell ref="B9:K9"/>
    <mergeCell ref="CX2:DG2"/>
    <mergeCell ref="DH2:DQ2"/>
    <mergeCell ref="HN2:HW2"/>
    <mergeCell ref="HX2:IG2"/>
    <mergeCell ref="DR2:EA2"/>
    <mergeCell ref="EB2:EK2"/>
    <mergeCell ref="EL2:EU2"/>
    <mergeCell ref="EV2:FE2"/>
    <mergeCell ref="FF2:FO2"/>
    <mergeCell ref="FP2:FY2"/>
    <mergeCell ref="AZ2:BI2"/>
    <mergeCell ref="A1:G1"/>
    <mergeCell ref="A2:G2"/>
    <mergeCell ref="V2:AE2"/>
    <mergeCell ref="AF2:AO2"/>
    <mergeCell ref="AP2:AY2"/>
  </mergeCells>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rgb="FF00B050"/>
    <pageSetUpPr fitToPage="1"/>
  </sheetPr>
  <dimension ref="A1:IV60"/>
  <sheetViews>
    <sheetView showGridLines="0" zoomScaleNormal="100" workbookViewId="0">
      <selection sqref="A1:G1"/>
    </sheetView>
  </sheetViews>
  <sheetFormatPr defaultColWidth="0" defaultRowHeight="15" customHeight="1" zeroHeight="1" x14ac:dyDescent="0.35"/>
  <cols>
    <col min="1" max="1" width="3.54296875" style="422" customWidth="1"/>
    <col min="2" max="12" width="13.54296875" style="396" customWidth="1"/>
    <col min="13" max="20" width="8.81640625" style="396" hidden="1" customWidth="1"/>
    <col min="21" max="21" width="19.453125" style="396" hidden="1" customWidth="1"/>
    <col min="22" max="16384" width="0" style="396" hidden="1"/>
  </cols>
  <sheetData>
    <row r="1" spans="1:256" ht="60" customHeight="1" x14ac:dyDescent="0.7">
      <c r="A1" s="1031" t="str">
        <f>Development!B4&amp;" "&amp;"Commercial Efficiency Program"</f>
        <v>2024 Commercial Efficiency Program</v>
      </c>
      <c r="B1" s="1031"/>
      <c r="C1" s="1031"/>
      <c r="D1" s="1031"/>
      <c r="E1" s="1031"/>
      <c r="F1" s="1031"/>
      <c r="G1" s="1031"/>
      <c r="H1" s="835"/>
      <c r="I1" s="837"/>
      <c r="J1" s="837"/>
      <c r="K1" s="790"/>
      <c r="L1" s="790"/>
      <c r="V1" s="1037"/>
      <c r="W1" s="1037"/>
      <c r="X1" s="1037"/>
      <c r="Y1" s="1037"/>
      <c r="Z1" s="1037"/>
      <c r="AA1" s="1037"/>
      <c r="AB1" s="1037"/>
      <c r="AC1" s="1037"/>
      <c r="AD1" s="1037"/>
      <c r="AE1" s="1037"/>
      <c r="AF1" s="1037"/>
      <c r="AG1" s="1037"/>
      <c r="AH1" s="1037"/>
      <c r="AI1" s="1037"/>
      <c r="AJ1" s="1037"/>
      <c r="AK1" s="1037"/>
      <c r="AL1" s="1037"/>
      <c r="AM1" s="1037"/>
      <c r="AN1" s="1037"/>
      <c r="AO1" s="1037"/>
      <c r="AP1" s="1037"/>
      <c r="AQ1" s="1037"/>
      <c r="AR1" s="1037"/>
      <c r="AS1" s="1037"/>
      <c r="AT1" s="1037"/>
      <c r="AU1" s="1037"/>
      <c r="AV1" s="1037"/>
      <c r="AW1" s="1037"/>
      <c r="AX1" s="1037"/>
      <c r="AY1" s="1037"/>
      <c r="AZ1" s="1037"/>
      <c r="BA1" s="1037"/>
      <c r="BB1" s="1037"/>
      <c r="BC1" s="1037"/>
      <c r="BD1" s="1037"/>
      <c r="BE1" s="1037"/>
      <c r="BF1" s="1037"/>
      <c r="BG1" s="1037"/>
      <c r="BH1" s="1037"/>
      <c r="BI1" s="1037"/>
      <c r="BJ1" s="1037"/>
      <c r="BK1" s="1037"/>
      <c r="BL1" s="1037"/>
      <c r="BM1" s="1037"/>
      <c r="BN1" s="1037"/>
      <c r="BO1" s="1037"/>
      <c r="BP1" s="1037"/>
      <c r="BQ1" s="1037"/>
      <c r="BR1" s="1037"/>
      <c r="BS1" s="1037"/>
      <c r="BT1" s="1037"/>
      <c r="BU1" s="1037"/>
      <c r="BV1" s="1037"/>
      <c r="BW1" s="1037"/>
      <c r="BX1" s="1037"/>
      <c r="BY1" s="1037"/>
      <c r="BZ1" s="1037"/>
      <c r="CA1" s="1037"/>
      <c r="CB1" s="1037"/>
      <c r="CC1" s="1037"/>
      <c r="CD1" s="1037"/>
      <c r="CE1" s="1037"/>
      <c r="CF1" s="1037"/>
      <c r="CG1" s="1037"/>
      <c r="CH1" s="1037"/>
      <c r="CI1" s="1037"/>
      <c r="CJ1" s="1037"/>
      <c r="CK1" s="1037"/>
      <c r="CL1" s="1037"/>
      <c r="CM1" s="1037"/>
      <c r="CN1" s="1037"/>
      <c r="CO1" s="1037"/>
      <c r="CP1" s="1037"/>
      <c r="CQ1" s="1037"/>
      <c r="CR1" s="1037"/>
      <c r="CS1" s="1037"/>
      <c r="CT1" s="1037"/>
      <c r="CU1" s="1037"/>
      <c r="CV1" s="1037"/>
      <c r="CW1" s="1037"/>
      <c r="CX1" s="1037"/>
      <c r="CY1" s="1037"/>
      <c r="CZ1" s="1037"/>
      <c r="DA1" s="1037"/>
      <c r="DB1" s="1037"/>
      <c r="DC1" s="1037"/>
      <c r="DD1" s="1037"/>
      <c r="DE1" s="1037"/>
      <c r="DF1" s="1037"/>
      <c r="DG1" s="1037"/>
      <c r="DH1" s="1037"/>
      <c r="DI1" s="1037"/>
      <c r="DJ1" s="1037"/>
      <c r="DK1" s="1037"/>
      <c r="DL1" s="1037"/>
      <c r="DM1" s="1037"/>
      <c r="DN1" s="1037"/>
      <c r="DO1" s="1037"/>
      <c r="DP1" s="1037"/>
      <c r="DQ1" s="1037"/>
      <c r="DR1" s="1037"/>
      <c r="DS1" s="1037"/>
      <c r="DT1" s="1037"/>
      <c r="DU1" s="1037"/>
      <c r="DV1" s="1037"/>
      <c r="DW1" s="1037"/>
      <c r="DX1" s="1037"/>
      <c r="DY1" s="1037"/>
      <c r="DZ1" s="1037"/>
      <c r="EA1" s="1037"/>
      <c r="EB1" s="1037"/>
      <c r="EC1" s="1037"/>
      <c r="ED1" s="1037"/>
      <c r="EE1" s="1037"/>
      <c r="EF1" s="1037"/>
      <c r="EG1" s="1037"/>
      <c r="EH1" s="1037"/>
      <c r="EI1" s="1037"/>
      <c r="EJ1" s="1037"/>
      <c r="EK1" s="1037"/>
      <c r="EL1" s="1037"/>
      <c r="EM1" s="1037"/>
      <c r="EN1" s="1037"/>
      <c r="EO1" s="1037"/>
      <c r="EP1" s="1037"/>
      <c r="EQ1" s="1037"/>
      <c r="ER1" s="1037"/>
      <c r="ES1" s="1037"/>
      <c r="ET1" s="1037"/>
      <c r="EU1" s="1037"/>
      <c r="EV1" s="1037"/>
      <c r="EW1" s="1037"/>
      <c r="EX1" s="1037"/>
      <c r="EY1" s="1037"/>
      <c r="EZ1" s="1037"/>
      <c r="FA1" s="1037"/>
      <c r="FB1" s="1037"/>
      <c r="FC1" s="1037"/>
      <c r="FD1" s="1037"/>
      <c r="FE1" s="1037"/>
      <c r="FF1" s="1037"/>
      <c r="FG1" s="1037"/>
      <c r="FH1" s="1037"/>
      <c r="FI1" s="1037"/>
      <c r="FJ1" s="1037"/>
      <c r="FK1" s="1037"/>
      <c r="FL1" s="1037"/>
      <c r="FM1" s="1037"/>
      <c r="FN1" s="1037"/>
      <c r="FO1" s="1037"/>
      <c r="FP1" s="1037"/>
      <c r="FQ1" s="1037"/>
      <c r="FR1" s="1037"/>
      <c r="FS1" s="1037"/>
      <c r="FT1" s="1037"/>
      <c r="FU1" s="1037"/>
      <c r="FV1" s="1037"/>
      <c r="FW1" s="1037"/>
      <c r="FX1" s="1037"/>
      <c r="FY1" s="1037"/>
      <c r="FZ1" s="1037"/>
      <c r="GA1" s="1037"/>
      <c r="GB1" s="1037"/>
      <c r="GC1" s="1037"/>
      <c r="GD1" s="1037"/>
      <c r="GE1" s="1037"/>
      <c r="GF1" s="1037"/>
      <c r="GG1" s="1037"/>
      <c r="GH1" s="1037"/>
      <c r="GI1" s="1037"/>
      <c r="GJ1" s="1037"/>
      <c r="GK1" s="1037"/>
      <c r="GL1" s="1037"/>
      <c r="GM1" s="1037"/>
      <c r="GN1" s="1037"/>
      <c r="GO1" s="1037"/>
      <c r="GP1" s="1037"/>
      <c r="GQ1" s="1037"/>
      <c r="GR1" s="1037"/>
      <c r="GS1" s="1037"/>
      <c r="GT1" s="1037"/>
      <c r="GU1" s="1037"/>
      <c r="GV1" s="1037"/>
      <c r="GW1" s="1037"/>
      <c r="GX1" s="1037"/>
      <c r="GY1" s="1037"/>
      <c r="GZ1" s="1037"/>
      <c r="HA1" s="1037"/>
      <c r="HB1" s="1037"/>
      <c r="HC1" s="1037"/>
      <c r="HD1" s="1037"/>
      <c r="HE1" s="1037"/>
      <c r="HF1" s="1037"/>
      <c r="HG1" s="1037"/>
      <c r="HH1" s="1037"/>
      <c r="HI1" s="1037"/>
      <c r="HJ1" s="1037"/>
      <c r="HK1" s="1037"/>
      <c r="HL1" s="1037"/>
      <c r="HM1" s="1037"/>
      <c r="HN1" s="1037"/>
      <c r="HO1" s="1037"/>
      <c r="HP1" s="1037"/>
      <c r="HQ1" s="1037"/>
      <c r="HR1" s="1037"/>
      <c r="HS1" s="1037"/>
      <c r="HT1" s="1037"/>
      <c r="HU1" s="1037"/>
      <c r="HV1" s="1037"/>
      <c r="HW1" s="1037"/>
      <c r="HX1" s="1037"/>
      <c r="HY1" s="1037"/>
      <c r="HZ1" s="1037"/>
      <c r="IA1" s="1037"/>
      <c r="IB1" s="1037"/>
      <c r="IC1" s="1037"/>
      <c r="ID1" s="1037"/>
      <c r="IE1" s="1037"/>
      <c r="IF1" s="1037"/>
      <c r="IG1" s="1037"/>
      <c r="IH1" s="1037"/>
      <c r="II1" s="1037"/>
      <c r="IJ1" s="1037"/>
      <c r="IK1" s="1037"/>
      <c r="IL1" s="1037"/>
      <c r="IM1" s="1037"/>
      <c r="IN1" s="1037"/>
      <c r="IO1" s="1037"/>
      <c r="IP1" s="1037"/>
      <c r="IQ1" s="1037"/>
      <c r="IR1" s="1037"/>
      <c r="IS1" s="1037"/>
      <c r="IT1" s="1037"/>
      <c r="IU1" s="1037"/>
      <c r="IV1" s="1037"/>
    </row>
    <row r="2" spans="1:256" ht="60" customHeight="1" thickBot="1" x14ac:dyDescent="0.4">
      <c r="A2" s="1032" t="s">
        <v>1138</v>
      </c>
      <c r="B2" s="1032"/>
      <c r="C2" s="1032"/>
      <c r="D2" s="1032"/>
      <c r="E2" s="1032"/>
      <c r="F2" s="1032"/>
      <c r="G2" s="1032"/>
      <c r="H2" s="836"/>
      <c r="I2" s="836"/>
      <c r="J2" s="836"/>
      <c r="K2" s="791"/>
      <c r="L2" s="791"/>
      <c r="M2" s="397"/>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c r="AT2" s="1038"/>
      <c r="AU2" s="1038"/>
      <c r="AV2" s="1038"/>
      <c r="AW2" s="1038"/>
      <c r="AX2" s="1038"/>
      <c r="AY2" s="1038"/>
      <c r="AZ2" s="1038"/>
      <c r="BA2" s="1038"/>
      <c r="BB2" s="1038"/>
      <c r="BC2" s="1038"/>
      <c r="BD2" s="1038"/>
      <c r="BE2" s="1038"/>
      <c r="BF2" s="1038"/>
      <c r="BG2" s="1038"/>
      <c r="BH2" s="1038"/>
      <c r="BI2" s="1038"/>
      <c r="BJ2" s="1038"/>
      <c r="BK2" s="1038"/>
      <c r="BL2" s="1038"/>
      <c r="BM2" s="1038"/>
      <c r="BN2" s="1038"/>
      <c r="BO2" s="1038"/>
      <c r="BP2" s="1038"/>
      <c r="BQ2" s="1038"/>
      <c r="BR2" s="1038"/>
      <c r="BS2" s="1038"/>
      <c r="BT2" s="1038"/>
      <c r="BU2" s="1038"/>
      <c r="BV2" s="1038"/>
      <c r="BW2" s="1038"/>
      <c r="BX2" s="1038"/>
      <c r="BY2" s="1038"/>
      <c r="BZ2" s="1038"/>
      <c r="CA2" s="1038"/>
      <c r="CB2" s="1038"/>
      <c r="CC2" s="1038"/>
      <c r="CD2" s="1038"/>
      <c r="CE2" s="1038"/>
      <c r="CF2" s="1038"/>
      <c r="CG2" s="1038"/>
      <c r="CH2" s="1038"/>
      <c r="CI2" s="1038"/>
      <c r="CJ2" s="1038"/>
      <c r="CK2" s="1038"/>
      <c r="CL2" s="1038"/>
      <c r="CM2" s="1038"/>
      <c r="CN2" s="1038"/>
      <c r="CO2" s="1038"/>
      <c r="CP2" s="1038"/>
      <c r="CQ2" s="1038"/>
      <c r="CR2" s="1038"/>
      <c r="CS2" s="1038"/>
      <c r="CT2" s="1038"/>
      <c r="CU2" s="1038"/>
      <c r="CV2" s="1038"/>
      <c r="CW2" s="1038"/>
      <c r="CX2" s="1038"/>
      <c r="CY2" s="1038"/>
      <c r="CZ2" s="1038"/>
      <c r="DA2" s="1038"/>
      <c r="DB2" s="1038"/>
      <c r="DC2" s="1038"/>
      <c r="DD2" s="1038"/>
      <c r="DE2" s="1038"/>
      <c r="DF2" s="1038"/>
      <c r="DG2" s="1038"/>
      <c r="DH2" s="1038"/>
      <c r="DI2" s="1038"/>
      <c r="DJ2" s="1038"/>
      <c r="DK2" s="1038"/>
      <c r="DL2" s="1038"/>
      <c r="DM2" s="1038"/>
      <c r="DN2" s="1038"/>
      <c r="DO2" s="1038"/>
      <c r="DP2" s="1038"/>
      <c r="DQ2" s="1038"/>
      <c r="DR2" s="1038"/>
      <c r="DS2" s="1038"/>
      <c r="DT2" s="1038"/>
      <c r="DU2" s="1038"/>
      <c r="DV2" s="1038"/>
      <c r="DW2" s="1038"/>
      <c r="DX2" s="1038"/>
      <c r="DY2" s="1038"/>
      <c r="DZ2" s="1038"/>
      <c r="EA2" s="1038"/>
      <c r="EB2" s="1038"/>
      <c r="EC2" s="1038"/>
      <c r="ED2" s="1038"/>
      <c r="EE2" s="1038"/>
      <c r="EF2" s="1038"/>
      <c r="EG2" s="1038"/>
      <c r="EH2" s="1038"/>
      <c r="EI2" s="1038"/>
      <c r="EJ2" s="1038"/>
      <c r="EK2" s="1038"/>
      <c r="EL2" s="1038"/>
      <c r="EM2" s="1038"/>
      <c r="EN2" s="1038"/>
      <c r="EO2" s="1038"/>
      <c r="EP2" s="1038"/>
      <c r="EQ2" s="1038"/>
      <c r="ER2" s="1038"/>
      <c r="ES2" s="1038"/>
      <c r="ET2" s="1038"/>
      <c r="EU2" s="1038"/>
      <c r="EV2" s="1038"/>
      <c r="EW2" s="1038"/>
      <c r="EX2" s="1038"/>
      <c r="EY2" s="1038"/>
      <c r="EZ2" s="1038"/>
      <c r="FA2" s="1038"/>
      <c r="FB2" s="1038"/>
      <c r="FC2" s="1038"/>
      <c r="FD2" s="1038"/>
      <c r="FE2" s="1038"/>
      <c r="FF2" s="1038"/>
      <c r="FG2" s="1038"/>
      <c r="FH2" s="1038"/>
      <c r="FI2" s="1038"/>
      <c r="FJ2" s="1038"/>
      <c r="FK2" s="1038"/>
      <c r="FL2" s="1038"/>
      <c r="FM2" s="1038"/>
      <c r="FN2" s="1038"/>
      <c r="FO2" s="1038"/>
      <c r="FP2" s="1038"/>
      <c r="FQ2" s="1038"/>
      <c r="FR2" s="1038"/>
      <c r="FS2" s="1038"/>
      <c r="FT2" s="1038"/>
      <c r="FU2" s="1038"/>
      <c r="FV2" s="1038"/>
      <c r="FW2" s="1038"/>
      <c r="FX2" s="1038"/>
      <c r="FY2" s="1038"/>
      <c r="FZ2" s="1038"/>
      <c r="GA2" s="1038"/>
      <c r="GB2" s="1038"/>
      <c r="GC2" s="1038"/>
      <c r="GD2" s="1038"/>
      <c r="GE2" s="1038"/>
      <c r="GF2" s="1038"/>
      <c r="GG2" s="1038"/>
      <c r="GH2" s="1038"/>
      <c r="GI2" s="1038"/>
      <c r="GJ2" s="1038"/>
      <c r="GK2" s="1038"/>
      <c r="GL2" s="1038"/>
      <c r="GM2" s="1038"/>
      <c r="GN2" s="1038"/>
      <c r="GO2" s="1038"/>
      <c r="GP2" s="1038"/>
      <c r="GQ2" s="1038"/>
      <c r="GR2" s="1038"/>
      <c r="GS2" s="1038"/>
      <c r="GT2" s="1038"/>
      <c r="GU2" s="1038"/>
      <c r="GV2" s="1038"/>
      <c r="GW2" s="1038"/>
      <c r="GX2" s="1038"/>
      <c r="GY2" s="1038"/>
      <c r="GZ2" s="1038"/>
      <c r="HA2" s="1038"/>
      <c r="HB2" s="1038"/>
      <c r="HC2" s="1038"/>
      <c r="HD2" s="1038"/>
      <c r="HE2" s="1038"/>
      <c r="HF2" s="1038"/>
      <c r="HG2" s="1038"/>
      <c r="HH2" s="1038"/>
      <c r="HI2" s="1038"/>
      <c r="HJ2" s="1038"/>
      <c r="HK2" s="1038"/>
      <c r="HL2" s="1038"/>
      <c r="HM2" s="1038"/>
      <c r="HN2" s="1038"/>
      <c r="HO2" s="1038"/>
      <c r="HP2" s="1038"/>
      <c r="HQ2" s="1038"/>
      <c r="HR2" s="1038"/>
      <c r="HS2" s="1038"/>
      <c r="HT2" s="1038"/>
      <c r="HU2" s="1038"/>
      <c r="HV2" s="1038"/>
      <c r="HW2" s="1038"/>
      <c r="HX2" s="1038"/>
      <c r="HY2" s="1038"/>
      <c r="HZ2" s="1038"/>
      <c r="IA2" s="1038"/>
      <c r="IB2" s="1038"/>
      <c r="IC2" s="1038"/>
      <c r="ID2" s="1038"/>
      <c r="IE2" s="1038"/>
      <c r="IF2" s="1038"/>
      <c r="IG2" s="1038"/>
      <c r="IH2" s="1038"/>
      <c r="II2" s="1038"/>
      <c r="IJ2" s="1038"/>
      <c r="IK2" s="1038"/>
      <c r="IL2" s="1038"/>
      <c r="IM2" s="1038"/>
      <c r="IN2" s="1038"/>
      <c r="IO2" s="1038"/>
      <c r="IP2" s="1038"/>
      <c r="IQ2" s="1038"/>
      <c r="IR2" s="1038"/>
      <c r="IS2" s="1038"/>
      <c r="IT2" s="1038"/>
      <c r="IU2" s="1038"/>
      <c r="IV2" s="1038"/>
    </row>
    <row r="3" spans="1:256" ht="20.25" customHeight="1" thickTop="1" x14ac:dyDescent="0.35">
      <c r="A3" s="398"/>
      <c r="B3" s="398"/>
      <c r="C3" s="398"/>
      <c r="D3" s="398"/>
      <c r="E3" s="398"/>
      <c r="F3" s="398"/>
      <c r="G3" s="398"/>
      <c r="H3" s="398"/>
      <c r="I3" s="398"/>
      <c r="J3" s="398"/>
      <c r="K3" s="398"/>
      <c r="L3" s="398"/>
      <c r="M3" s="397"/>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c r="DK3" s="399"/>
      <c r="DL3" s="399"/>
      <c r="DM3" s="399"/>
      <c r="DN3" s="399"/>
      <c r="DO3" s="399"/>
      <c r="DP3" s="399"/>
      <c r="DQ3" s="399"/>
      <c r="DR3" s="399"/>
      <c r="DS3" s="399"/>
      <c r="DT3" s="399"/>
      <c r="DU3" s="399"/>
      <c r="DV3" s="399"/>
      <c r="DW3" s="399"/>
      <c r="DX3" s="399"/>
      <c r="DY3" s="399"/>
      <c r="DZ3" s="399"/>
      <c r="EA3" s="399"/>
      <c r="EB3" s="399"/>
      <c r="EC3" s="399"/>
      <c r="ED3" s="399"/>
      <c r="EE3" s="399"/>
      <c r="EF3" s="399"/>
      <c r="EG3" s="399"/>
      <c r="EH3" s="399"/>
      <c r="EI3" s="399"/>
      <c r="EJ3" s="399"/>
      <c r="EK3" s="399"/>
      <c r="EL3" s="399"/>
      <c r="EM3" s="399"/>
      <c r="EN3" s="399"/>
      <c r="EO3" s="399"/>
      <c r="EP3" s="399"/>
      <c r="EQ3" s="399"/>
      <c r="ER3" s="399"/>
      <c r="ES3" s="399"/>
      <c r="ET3" s="399"/>
      <c r="EU3" s="399"/>
      <c r="EV3" s="399"/>
      <c r="EW3" s="399"/>
      <c r="EX3" s="399"/>
      <c r="EY3" s="399"/>
      <c r="EZ3" s="399"/>
      <c r="FA3" s="399"/>
      <c r="FB3" s="399"/>
      <c r="FC3" s="399"/>
      <c r="FD3" s="399"/>
      <c r="FE3" s="399"/>
      <c r="FF3" s="399"/>
      <c r="FG3" s="399"/>
      <c r="FH3" s="399"/>
      <c r="FI3" s="399"/>
      <c r="FJ3" s="399"/>
      <c r="FK3" s="399"/>
      <c r="FL3" s="399"/>
      <c r="FM3" s="399"/>
      <c r="FN3" s="399"/>
      <c r="FO3" s="399"/>
      <c r="FP3" s="399"/>
      <c r="FQ3" s="399"/>
      <c r="FR3" s="399"/>
      <c r="FS3" s="399"/>
      <c r="FT3" s="399"/>
      <c r="FU3" s="399"/>
      <c r="FV3" s="399"/>
      <c r="FW3" s="399"/>
      <c r="FX3" s="399"/>
      <c r="FY3" s="399"/>
      <c r="FZ3" s="399"/>
      <c r="GA3" s="399"/>
      <c r="GB3" s="399"/>
      <c r="GC3" s="399"/>
      <c r="GD3" s="399"/>
      <c r="GE3" s="399"/>
      <c r="GF3" s="399"/>
      <c r="GG3" s="399"/>
      <c r="GH3" s="399"/>
      <c r="GI3" s="399"/>
      <c r="GJ3" s="399"/>
      <c r="GK3" s="399"/>
      <c r="GL3" s="399"/>
      <c r="GM3" s="399"/>
      <c r="GN3" s="399"/>
      <c r="GO3" s="399"/>
      <c r="GP3" s="399"/>
      <c r="GQ3" s="399"/>
      <c r="GR3" s="399"/>
      <c r="GS3" s="399"/>
      <c r="GT3" s="399"/>
      <c r="GU3" s="399"/>
      <c r="GV3" s="399"/>
      <c r="GW3" s="399"/>
      <c r="GX3" s="399"/>
      <c r="GY3" s="399"/>
      <c r="GZ3" s="399"/>
      <c r="HA3" s="399"/>
      <c r="HB3" s="399"/>
      <c r="HC3" s="399"/>
      <c r="HD3" s="399"/>
      <c r="HE3" s="399"/>
      <c r="HF3" s="399"/>
      <c r="HG3" s="399"/>
      <c r="HH3" s="399"/>
      <c r="HI3" s="399"/>
      <c r="HJ3" s="399"/>
      <c r="HK3" s="399"/>
      <c r="HL3" s="399"/>
      <c r="HM3" s="399"/>
      <c r="HN3" s="399"/>
      <c r="HO3" s="399"/>
      <c r="HP3" s="399"/>
      <c r="HQ3" s="399"/>
      <c r="HR3" s="399"/>
      <c r="HS3" s="399"/>
      <c r="HT3" s="399"/>
      <c r="HU3" s="399"/>
      <c r="HV3" s="399"/>
      <c r="HW3" s="399"/>
      <c r="HX3" s="399"/>
      <c r="HY3" s="399"/>
      <c r="HZ3" s="399"/>
      <c r="IA3" s="399"/>
      <c r="IB3" s="399"/>
      <c r="IC3" s="399"/>
      <c r="ID3" s="399"/>
      <c r="IE3" s="399"/>
      <c r="IF3" s="399"/>
      <c r="IG3" s="399"/>
      <c r="IH3" s="399"/>
      <c r="II3" s="399"/>
      <c r="IJ3" s="399"/>
      <c r="IK3" s="399"/>
      <c r="IL3" s="399"/>
      <c r="IM3" s="399"/>
      <c r="IN3" s="399"/>
      <c r="IO3" s="399"/>
      <c r="IP3" s="399"/>
      <c r="IQ3" s="399"/>
      <c r="IR3" s="399"/>
      <c r="IS3" s="399"/>
      <c r="IT3" s="399"/>
      <c r="IU3" s="399"/>
      <c r="IV3" s="399"/>
    </row>
    <row r="4" spans="1:256" s="400" customFormat="1" ht="18.5" thickBot="1" x14ac:dyDescent="0.4">
      <c r="A4" s="1039" t="s">
        <v>1139</v>
      </c>
      <c r="B4" s="1039"/>
      <c r="C4" s="1039"/>
      <c r="D4" s="1039"/>
      <c r="E4" s="1039"/>
      <c r="F4" s="1039"/>
      <c r="G4" s="1039"/>
      <c r="H4" s="1039"/>
      <c r="I4" s="1039"/>
      <c r="J4" s="1039"/>
      <c r="K4" s="1039"/>
      <c r="L4" s="1039"/>
    </row>
    <row r="5" spans="1:256" s="403" customFormat="1" ht="14" x14ac:dyDescent="0.35">
      <c r="A5" s="401" t="s">
        <v>1140</v>
      </c>
      <c r="B5" s="1040" t="s">
        <v>1206</v>
      </c>
      <c r="C5" s="1040"/>
      <c r="D5" s="1040"/>
      <c r="E5" s="1040"/>
      <c r="F5" s="1040"/>
      <c r="G5" s="1040"/>
      <c r="H5" s="1040"/>
      <c r="I5" s="1040"/>
      <c r="J5" s="1040"/>
      <c r="K5" s="1040"/>
      <c r="L5" s="1040"/>
      <c r="M5" s="402"/>
    </row>
    <row r="6" spans="1:256" s="403" customFormat="1" ht="16.5" customHeight="1" x14ac:dyDescent="0.35">
      <c r="A6" s="401"/>
      <c r="B6" s="404" t="s">
        <v>1207</v>
      </c>
      <c r="C6" s="402"/>
      <c r="D6" s="402"/>
      <c r="E6" s="402"/>
      <c r="F6" s="402"/>
      <c r="G6" s="402"/>
      <c r="H6" s="402"/>
      <c r="I6" s="402"/>
      <c r="J6" s="402"/>
      <c r="K6" s="402"/>
      <c r="L6" s="402"/>
      <c r="M6" s="402"/>
    </row>
    <row r="7" spans="1:256" s="403" customFormat="1" ht="15.65" customHeight="1" x14ac:dyDescent="0.35">
      <c r="A7" s="401" t="s">
        <v>1140</v>
      </c>
      <c r="B7" s="670" t="s">
        <v>1939</v>
      </c>
      <c r="M7" s="402"/>
    </row>
    <row r="8" spans="1:256" s="403" customFormat="1" ht="15.65" customHeight="1" x14ac:dyDescent="0.35">
      <c r="A8" s="401" t="s">
        <v>1140</v>
      </c>
      <c r="B8" s="670" t="s">
        <v>2344</v>
      </c>
      <c r="M8" s="402"/>
    </row>
    <row r="9" spans="1:256" s="403" customFormat="1" ht="15.65" customHeight="1" x14ac:dyDescent="0.35">
      <c r="A9" s="401"/>
      <c r="B9" s="670" t="s">
        <v>2354</v>
      </c>
      <c r="M9" s="402"/>
    </row>
    <row r="10" spans="1:256" ht="17.149999999999999" customHeight="1" x14ac:dyDescent="0.35">
      <c r="A10" s="401" t="s">
        <v>1140</v>
      </c>
      <c r="B10" s="1040" t="s">
        <v>1141</v>
      </c>
      <c r="C10" s="1040"/>
      <c r="D10" s="1040"/>
      <c r="E10" s="1040"/>
      <c r="F10" s="1040"/>
      <c r="G10" s="1040"/>
      <c r="H10" s="1040"/>
      <c r="I10" s="1040"/>
      <c r="J10" s="1040"/>
      <c r="K10" s="1040"/>
      <c r="L10" s="1040"/>
    </row>
    <row r="11" spans="1:256" s="407" customFormat="1" ht="17.149999999999999" customHeight="1" x14ac:dyDescent="0.35">
      <c r="A11" s="405" t="s">
        <v>1140</v>
      </c>
      <c r="B11" s="1041" t="s">
        <v>1142</v>
      </c>
      <c r="C11" s="1041"/>
      <c r="D11" s="1041"/>
      <c r="E11" s="1041"/>
      <c r="F11" s="1041"/>
      <c r="G11" s="1041"/>
      <c r="H11" s="1041"/>
      <c r="I11" s="1041"/>
      <c r="J11" s="1041"/>
      <c r="K11" s="1041"/>
      <c r="L11" s="1041"/>
    </row>
    <row r="12" spans="1:256" s="407" customFormat="1" ht="17.149999999999999" customHeight="1" x14ac:dyDescent="0.35">
      <c r="A12" s="405" t="s">
        <v>1140</v>
      </c>
      <c r="B12" s="1041" t="s">
        <v>2359</v>
      </c>
      <c r="C12" s="1041"/>
      <c r="D12" s="1041"/>
      <c r="E12" s="1041"/>
      <c r="F12" s="1041"/>
      <c r="G12" s="1041"/>
      <c r="H12" s="1041"/>
      <c r="I12" s="1041"/>
      <c r="J12" s="1041"/>
      <c r="K12" s="1041"/>
      <c r="L12" s="1041"/>
    </row>
    <row r="13" spans="1:256" ht="17.5" customHeight="1" x14ac:dyDescent="0.35">
      <c r="A13" s="401" t="s">
        <v>1140</v>
      </c>
      <c r="B13" s="1040" t="s">
        <v>1143</v>
      </c>
      <c r="C13" s="1040"/>
      <c r="D13" s="1040"/>
      <c r="E13" s="1040"/>
      <c r="F13" s="1040"/>
      <c r="G13" s="1040"/>
      <c r="H13" s="1040"/>
      <c r="I13" s="1040"/>
      <c r="J13" s="1040"/>
      <c r="K13" s="1040"/>
      <c r="L13" s="1040"/>
    </row>
    <row r="14" spans="1:256" ht="14.5" x14ac:dyDescent="0.35">
      <c r="A14" s="401" t="s">
        <v>1140</v>
      </c>
      <c r="B14" s="1042" t="s">
        <v>1772</v>
      </c>
      <c r="C14" s="1042"/>
      <c r="D14" s="1042"/>
      <c r="E14" s="1042"/>
      <c r="F14" s="1042"/>
      <c r="G14" s="1042"/>
      <c r="H14" s="1042"/>
      <c r="I14" s="1042"/>
      <c r="J14" s="1042"/>
      <c r="K14" s="1042"/>
      <c r="L14" s="1042"/>
    </row>
    <row r="15" spans="1:256" ht="33.75" customHeight="1" x14ac:dyDescent="0.35">
      <c r="A15" s="401" t="s">
        <v>1140</v>
      </c>
      <c r="B15" s="1043" t="s">
        <v>1162</v>
      </c>
      <c r="C15" s="1043"/>
      <c r="D15" s="1043"/>
      <c r="E15" s="1043"/>
      <c r="F15" s="1043"/>
      <c r="G15" s="1043"/>
      <c r="H15" s="1043"/>
      <c r="I15" s="1043"/>
      <c r="J15" s="1043"/>
      <c r="K15" s="1043"/>
      <c r="L15" s="1043"/>
    </row>
    <row r="16" spans="1:256" s="407" customFormat="1" ht="17.5" customHeight="1" x14ac:dyDescent="0.35">
      <c r="A16" s="405" t="s">
        <v>1140</v>
      </c>
      <c r="B16" s="1041" t="s">
        <v>1224</v>
      </c>
      <c r="C16" s="1041"/>
      <c r="D16" s="1041"/>
      <c r="E16" s="1041"/>
      <c r="F16" s="1041"/>
      <c r="G16" s="1041"/>
      <c r="H16" s="1041"/>
      <c r="I16" s="1041"/>
      <c r="J16" s="1041"/>
      <c r="K16" s="1041"/>
      <c r="L16" s="1041"/>
    </row>
    <row r="17" spans="1:12" s="407" customFormat="1" ht="16" customHeight="1" x14ac:dyDescent="0.35">
      <c r="A17" s="405"/>
      <c r="B17" s="404" t="s">
        <v>1207</v>
      </c>
      <c r="C17" s="406"/>
      <c r="D17" s="406"/>
      <c r="E17" s="406"/>
      <c r="F17" s="406"/>
      <c r="G17" s="406"/>
      <c r="H17" s="406"/>
      <c r="I17" s="406"/>
      <c r="J17" s="406"/>
      <c r="K17" s="406"/>
      <c r="L17" s="406"/>
    </row>
    <row r="18" spans="1:12" s="408" customFormat="1" ht="15.65" customHeight="1" x14ac:dyDescent="0.35">
      <c r="A18" s="405" t="s">
        <v>1140</v>
      </c>
      <c r="B18" s="406" t="s">
        <v>1213</v>
      </c>
      <c r="C18" s="406"/>
      <c r="D18" s="406"/>
      <c r="E18" s="406"/>
      <c r="F18" s="406"/>
      <c r="G18" s="406"/>
      <c r="H18" s="406"/>
      <c r="I18" s="406"/>
      <c r="J18" s="406"/>
      <c r="K18" s="406"/>
      <c r="L18" s="406"/>
    </row>
    <row r="19" spans="1:12" s="408" customFormat="1" ht="17.149999999999999" customHeight="1" x14ac:dyDescent="0.35">
      <c r="A19" s="405"/>
      <c r="B19" s="404" t="s">
        <v>1207</v>
      </c>
      <c r="C19" s="406"/>
      <c r="D19" s="406"/>
      <c r="E19" s="406"/>
      <c r="F19" s="406"/>
      <c r="G19" s="406"/>
      <c r="H19" s="406"/>
      <c r="I19" s="406"/>
      <c r="J19" s="406"/>
      <c r="K19" s="406"/>
      <c r="L19" s="406"/>
    </row>
    <row r="20" spans="1:12" s="410" customFormat="1" ht="35.25" customHeight="1" x14ac:dyDescent="0.35">
      <c r="A20" s="409" t="s">
        <v>1140</v>
      </c>
      <c r="B20" s="1043" t="s">
        <v>1762</v>
      </c>
      <c r="C20" s="1043"/>
      <c r="D20" s="1043"/>
      <c r="E20" s="1043"/>
      <c r="F20" s="1043"/>
      <c r="G20" s="1043"/>
      <c r="H20" s="1043"/>
      <c r="I20" s="1043"/>
      <c r="J20" s="1043"/>
      <c r="K20" s="1043"/>
      <c r="L20" s="1043"/>
    </row>
    <row r="21" spans="1:12" s="410" customFormat="1" ht="14" x14ac:dyDescent="0.35">
      <c r="A21" s="409" t="s">
        <v>1140</v>
      </c>
      <c r="B21" s="1043" t="s">
        <v>1144</v>
      </c>
      <c r="C21" s="1041"/>
      <c r="D21" s="1041"/>
      <c r="E21" s="1041"/>
      <c r="F21" s="1041"/>
      <c r="G21" s="1041"/>
      <c r="H21" s="1041"/>
      <c r="I21" s="1041"/>
      <c r="J21" s="1041"/>
      <c r="K21" s="1041"/>
      <c r="L21" s="1041"/>
    </row>
    <row r="22" spans="1:12" s="403" customFormat="1" ht="14" x14ac:dyDescent="0.35">
      <c r="A22" s="409" t="s">
        <v>1140</v>
      </c>
      <c r="B22" s="1043" t="s">
        <v>1145</v>
      </c>
      <c r="C22" s="1041"/>
      <c r="D22" s="1041"/>
      <c r="E22" s="1041"/>
      <c r="F22" s="1041"/>
      <c r="G22" s="1041"/>
      <c r="H22" s="1041"/>
      <c r="I22" s="1041"/>
      <c r="J22" s="1041"/>
      <c r="K22" s="1041"/>
      <c r="L22" s="1041"/>
    </row>
    <row r="23" spans="1:12" ht="15.65" customHeight="1" x14ac:dyDescent="0.35">
      <c r="A23" s="401" t="s">
        <v>1140</v>
      </c>
      <c r="B23" s="1040" t="s">
        <v>1163</v>
      </c>
      <c r="C23" s="1040"/>
      <c r="D23" s="1040"/>
      <c r="E23" s="1040"/>
      <c r="F23" s="1040"/>
      <c r="G23" s="1040"/>
      <c r="H23" s="1040"/>
      <c r="I23" s="1040"/>
      <c r="J23" s="1040"/>
      <c r="K23" s="1040"/>
      <c r="L23" s="1040"/>
    </row>
    <row r="24" spans="1:12" s="403" customFormat="1" ht="16.5" customHeight="1" x14ac:dyDescent="0.35">
      <c r="A24" s="401" t="s">
        <v>1140</v>
      </c>
      <c r="B24" s="1040" t="s">
        <v>1146</v>
      </c>
      <c r="C24" s="1040"/>
      <c r="D24" s="1040"/>
      <c r="E24" s="1040"/>
      <c r="F24" s="1040"/>
      <c r="G24" s="1040"/>
      <c r="H24" s="1040"/>
      <c r="I24" s="1040"/>
      <c r="J24" s="1040"/>
      <c r="K24" s="1040"/>
      <c r="L24" s="402"/>
    </row>
    <row r="25" spans="1:12" s="411" customFormat="1" ht="18" customHeight="1" x14ac:dyDescent="0.4">
      <c r="A25" s="401" t="s">
        <v>1140</v>
      </c>
      <c r="B25" s="1043" t="s">
        <v>1147</v>
      </c>
      <c r="C25" s="1043"/>
      <c r="D25" s="1043"/>
      <c r="E25" s="1043"/>
      <c r="F25" s="1043"/>
      <c r="G25" s="1043"/>
      <c r="H25" s="1043"/>
      <c r="I25" s="1043"/>
      <c r="J25" s="1043"/>
      <c r="K25" s="1043"/>
      <c r="L25" s="1043"/>
    </row>
    <row r="26" spans="1:12" s="411" customFormat="1" ht="31" customHeight="1" x14ac:dyDescent="0.4">
      <c r="A26" s="757" t="s">
        <v>1140</v>
      </c>
      <c r="B26" s="1042" t="s">
        <v>2169</v>
      </c>
      <c r="C26" s="1042"/>
      <c r="D26" s="1042"/>
      <c r="E26" s="1042"/>
      <c r="F26" s="1042"/>
      <c r="G26" s="1042"/>
      <c r="H26" s="1042"/>
      <c r="I26" s="1042"/>
      <c r="J26" s="1042"/>
      <c r="K26" s="1042"/>
      <c r="L26" s="1042"/>
    </row>
    <row r="27" spans="1:12" ht="9" customHeight="1" x14ac:dyDescent="0.35">
      <c r="A27" s="403"/>
      <c r="B27" s="1044"/>
      <c r="C27" s="1044"/>
      <c r="D27" s="1044"/>
      <c r="E27" s="1044"/>
      <c r="F27" s="1044"/>
      <c r="G27" s="1044"/>
      <c r="H27" s="1044"/>
      <c r="I27" s="1044"/>
      <c r="J27" s="1044"/>
      <c r="K27" s="1044"/>
      <c r="L27" s="1044"/>
    </row>
    <row r="28" spans="1:12" s="412" customFormat="1" ht="18.5" thickBot="1" x14ac:dyDescent="0.4">
      <c r="A28" s="1039" t="s">
        <v>1148</v>
      </c>
      <c r="B28" s="1039"/>
      <c r="C28" s="1039"/>
      <c r="D28" s="1039"/>
      <c r="E28" s="1039"/>
      <c r="F28" s="1039"/>
      <c r="G28" s="1039"/>
      <c r="H28" s="1039"/>
      <c r="I28" s="1039"/>
      <c r="J28" s="1039"/>
      <c r="K28" s="1039"/>
      <c r="L28" s="1039"/>
    </row>
    <row r="29" spans="1:12" ht="18" customHeight="1" x14ac:dyDescent="0.35">
      <c r="A29" s="413" t="s">
        <v>1140</v>
      </c>
      <c r="B29" s="410" t="s">
        <v>1149</v>
      </c>
      <c r="C29" s="403"/>
      <c r="D29" s="403"/>
      <c r="E29" s="403"/>
      <c r="F29" s="403"/>
      <c r="G29" s="403"/>
      <c r="H29" s="403"/>
      <c r="I29" s="403"/>
      <c r="J29" s="403"/>
      <c r="K29" s="403"/>
      <c r="L29" s="403"/>
    </row>
    <row r="30" spans="1:12" ht="18" customHeight="1" x14ac:dyDescent="0.35">
      <c r="A30" s="413" t="s">
        <v>1140</v>
      </c>
      <c r="B30" s="1042" t="s">
        <v>1150</v>
      </c>
      <c r="C30" s="1042"/>
      <c r="D30" s="1042"/>
      <c r="E30" s="1042"/>
      <c r="F30" s="1042"/>
      <c r="G30" s="1042"/>
      <c r="H30" s="1042"/>
      <c r="I30" s="1042"/>
      <c r="J30" s="1042"/>
      <c r="K30" s="1042"/>
      <c r="L30" s="1042"/>
    </row>
    <row r="31" spans="1:12" ht="14.5" x14ac:dyDescent="0.35">
      <c r="A31" s="413" t="s">
        <v>1140</v>
      </c>
      <c r="B31" s="1040" t="s">
        <v>1151</v>
      </c>
      <c r="C31" s="1040"/>
      <c r="D31" s="1040"/>
      <c r="E31" s="1040"/>
      <c r="F31" s="1040"/>
      <c r="G31" s="1040"/>
      <c r="H31" s="1040"/>
      <c r="I31" s="1040"/>
      <c r="J31" s="1040"/>
      <c r="K31" s="1040"/>
      <c r="L31" s="1040"/>
    </row>
    <row r="32" spans="1:12" ht="14.5" x14ac:dyDescent="0.35">
      <c r="A32" s="413"/>
      <c r="B32" s="402"/>
      <c r="C32" s="402" t="s">
        <v>1152</v>
      </c>
      <c r="D32" s="402"/>
      <c r="E32" s="402"/>
      <c r="F32" s="402"/>
      <c r="G32" s="402"/>
      <c r="H32" s="402"/>
      <c r="I32" s="402"/>
      <c r="J32" s="402"/>
      <c r="K32" s="402"/>
      <c r="L32" s="402"/>
    </row>
    <row r="33" spans="1:12" s="2" customFormat="1" ht="14.5" x14ac:dyDescent="0.3">
      <c r="A33" s="413"/>
      <c r="B33" s="413"/>
      <c r="D33" s="414" t="s">
        <v>1153</v>
      </c>
      <c r="E33" s="401"/>
      <c r="F33" s="401" t="s">
        <v>1776</v>
      </c>
      <c r="G33" s="401"/>
      <c r="H33" s="401"/>
      <c r="I33" s="401"/>
      <c r="J33" s="401"/>
      <c r="K33" s="401"/>
      <c r="L33" s="401"/>
    </row>
    <row r="34" spans="1:12" ht="14.5" x14ac:dyDescent="0.35">
      <c r="A34" s="413"/>
      <c r="B34" s="413"/>
      <c r="C34" s="415"/>
      <c r="D34" s="416" t="s">
        <v>1154</v>
      </c>
      <c r="E34" s="416"/>
      <c r="F34" s="416"/>
      <c r="G34" s="416"/>
      <c r="H34" s="416"/>
      <c r="I34" s="416"/>
      <c r="J34" s="416"/>
      <c r="K34" s="416"/>
      <c r="L34" s="416"/>
    </row>
    <row r="35" spans="1:12" s="2" customFormat="1" ht="15.5" x14ac:dyDescent="0.3">
      <c r="A35" s="618"/>
      <c r="B35" s="410"/>
      <c r="C35" s="373"/>
      <c r="D35" s="619" t="s">
        <v>2320</v>
      </c>
      <c r="E35" s="620"/>
      <c r="F35" s="620"/>
      <c r="G35" s="620"/>
      <c r="H35" s="620"/>
      <c r="I35" s="621"/>
      <c r="J35" s="621"/>
      <c r="K35" s="621"/>
      <c r="L35" s="621"/>
    </row>
    <row r="36" spans="1:12" ht="14.5" x14ac:dyDescent="0.35">
      <c r="A36" s="413"/>
      <c r="B36" s="403"/>
      <c r="C36" s="410" t="s">
        <v>1155</v>
      </c>
      <c r="D36" s="403"/>
      <c r="E36" s="403"/>
      <c r="F36" s="403"/>
      <c r="G36" s="403"/>
      <c r="H36" s="403"/>
      <c r="I36" s="403"/>
      <c r="J36" s="403"/>
      <c r="K36" s="403"/>
      <c r="L36" s="403"/>
    </row>
    <row r="37" spans="1:12" ht="12" customHeight="1" x14ac:dyDescent="0.35">
      <c r="A37" s="413"/>
      <c r="B37" s="413"/>
      <c r="C37" s="403"/>
      <c r="D37" s="403"/>
      <c r="E37" s="403"/>
      <c r="F37" s="403"/>
      <c r="G37" s="403"/>
      <c r="H37" s="403"/>
      <c r="I37" s="403"/>
      <c r="J37" s="403"/>
      <c r="K37" s="403"/>
      <c r="L37" s="403"/>
    </row>
    <row r="38" spans="1:12" ht="14.5" x14ac:dyDescent="0.35">
      <c r="A38" s="413" t="s">
        <v>1140</v>
      </c>
      <c r="B38" s="417" t="s">
        <v>1156</v>
      </c>
      <c r="C38" s="403"/>
      <c r="D38" s="403"/>
      <c r="E38" s="403"/>
      <c r="F38" s="403"/>
      <c r="G38" s="403"/>
      <c r="H38" s="403"/>
      <c r="I38" s="403"/>
      <c r="J38" s="403"/>
      <c r="K38" s="403"/>
      <c r="L38" s="403"/>
    </row>
    <row r="39" spans="1:12" ht="14.5" x14ac:dyDescent="0.35">
      <c r="A39" s="413"/>
      <c r="B39" s="417"/>
      <c r="C39" s="403"/>
      <c r="D39" s="403"/>
      <c r="E39" s="403"/>
      <c r="F39" s="403"/>
      <c r="G39" s="403"/>
      <c r="H39" s="403"/>
      <c r="I39" s="403"/>
      <c r="J39" s="403"/>
      <c r="K39" s="403"/>
      <c r="L39" s="403"/>
    </row>
    <row r="40" spans="1:12" ht="14.5" x14ac:dyDescent="0.35">
      <c r="A40" s="413" t="s">
        <v>1140</v>
      </c>
      <c r="B40" s="418" t="s">
        <v>1157</v>
      </c>
      <c r="C40" s="410"/>
      <c r="D40" s="410"/>
      <c r="E40" s="410"/>
      <c r="F40" s="410"/>
      <c r="G40" s="410"/>
      <c r="H40" s="410"/>
      <c r="I40" s="410"/>
      <c r="J40" s="410"/>
      <c r="K40" s="410"/>
      <c r="L40" s="410"/>
    </row>
    <row r="41" spans="1:12" ht="16" customHeight="1" x14ac:dyDescent="0.35">
      <c r="A41" s="419" t="s">
        <v>1140</v>
      </c>
      <c r="B41" s="410" t="s">
        <v>1158</v>
      </c>
      <c r="C41" s="410"/>
      <c r="D41" s="410"/>
      <c r="E41" s="410"/>
      <c r="F41" s="410"/>
      <c r="G41" s="410"/>
      <c r="H41" s="410"/>
      <c r="I41" s="410"/>
      <c r="J41" s="410"/>
      <c r="K41" s="410"/>
      <c r="L41" s="410"/>
    </row>
    <row r="42" spans="1:12" ht="16" customHeight="1" x14ac:dyDescent="0.35">
      <c r="A42" s="413" t="s">
        <v>1140</v>
      </c>
      <c r="B42" s="410" t="s">
        <v>1159</v>
      </c>
      <c r="C42" s="410"/>
      <c r="D42" s="410"/>
      <c r="E42" s="410"/>
      <c r="F42" s="410"/>
      <c r="G42" s="410"/>
      <c r="H42" s="410"/>
      <c r="I42" s="410"/>
      <c r="J42" s="410"/>
      <c r="K42" s="410"/>
      <c r="L42" s="410"/>
    </row>
    <row r="43" spans="1:12" ht="31.5" customHeight="1" x14ac:dyDescent="0.35">
      <c r="A43" s="413" t="s">
        <v>1140</v>
      </c>
      <c r="B43" s="1043" t="s">
        <v>1160</v>
      </c>
      <c r="C43" s="1043"/>
      <c r="D43" s="1043"/>
      <c r="E43" s="1043"/>
      <c r="F43" s="1043"/>
      <c r="G43" s="1043"/>
      <c r="H43" s="1043"/>
      <c r="I43" s="1043"/>
      <c r="J43" s="1043"/>
      <c r="K43" s="1043"/>
      <c r="L43" s="1043"/>
    </row>
    <row r="44" spans="1:12" ht="14.5" hidden="1" x14ac:dyDescent="0.35">
      <c r="A44" s="403"/>
      <c r="B44" s="420"/>
      <c r="C44" s="2"/>
      <c r="D44" s="2"/>
      <c r="E44" s="2"/>
      <c r="F44" s="2"/>
      <c r="G44" s="2"/>
      <c r="H44" s="2"/>
      <c r="I44" s="2"/>
      <c r="J44" s="2"/>
      <c r="K44" s="2"/>
      <c r="L44" s="2"/>
    </row>
    <row r="45" spans="1:12" ht="14.5" hidden="1" x14ac:dyDescent="0.35">
      <c r="A45" s="403"/>
      <c r="B45" s="420"/>
      <c r="C45" s="2"/>
      <c r="D45" s="2"/>
      <c r="E45" s="2"/>
      <c r="F45" s="2"/>
      <c r="G45" s="2"/>
      <c r="H45" s="2"/>
      <c r="I45" s="2"/>
      <c r="J45" s="2"/>
      <c r="K45" s="2"/>
      <c r="L45" s="2"/>
    </row>
    <row r="46" spans="1:12" ht="14.5" hidden="1" x14ac:dyDescent="0.35">
      <c r="A46" s="403"/>
      <c r="B46" s="420"/>
      <c r="C46" s="2"/>
      <c r="D46" s="2"/>
      <c r="E46" s="2"/>
      <c r="F46" s="2"/>
      <c r="G46" s="2"/>
      <c r="H46" s="2"/>
      <c r="I46" s="2"/>
      <c r="J46" s="2"/>
      <c r="K46" s="2"/>
      <c r="L46" s="2"/>
    </row>
    <row r="47" spans="1:12" ht="14.5" hidden="1" x14ac:dyDescent="0.35">
      <c r="A47" s="403"/>
      <c r="B47" s="421"/>
      <c r="C47" s="2"/>
      <c r="D47" s="2"/>
      <c r="E47" s="2"/>
      <c r="F47" s="2"/>
      <c r="G47" s="2"/>
      <c r="H47" s="2"/>
      <c r="I47" s="2"/>
      <c r="J47" s="2"/>
      <c r="K47" s="2"/>
      <c r="L47" s="2"/>
    </row>
    <row r="48" spans="1:12" ht="14.5" x14ac:dyDescent="0.35">
      <c r="A48" s="403"/>
      <c r="B48" s="2"/>
      <c r="C48" s="2"/>
      <c r="D48" s="2"/>
      <c r="E48" s="2"/>
      <c r="F48" s="2"/>
      <c r="G48" s="2"/>
      <c r="H48" s="2"/>
      <c r="I48" s="2"/>
      <c r="J48" s="2"/>
      <c r="K48" s="2"/>
      <c r="L48" s="2"/>
    </row>
    <row r="49" spans="1:12" ht="14.5" x14ac:dyDescent="0.35"/>
    <row r="50" spans="1:12" ht="14.5" x14ac:dyDescent="0.35">
      <c r="B50" s="2" t="s">
        <v>1161</v>
      </c>
      <c r="F50" s="304"/>
      <c r="G50" s="300" t="s">
        <v>1137</v>
      </c>
    </row>
    <row r="51" spans="1:12" ht="14.5" x14ac:dyDescent="0.35">
      <c r="A51" s="396"/>
    </row>
    <row r="52" spans="1:12" ht="14.5" x14ac:dyDescent="0.35">
      <c r="G52" s="300"/>
    </row>
    <row r="53" spans="1:12" ht="14.5" x14ac:dyDescent="0.35">
      <c r="G53" s="300"/>
    </row>
    <row r="54" spans="1:12" ht="14.5" x14ac:dyDescent="0.35">
      <c r="G54" s="300"/>
    </row>
    <row r="55" spans="1:12" ht="14.5" x14ac:dyDescent="0.35">
      <c r="A55" s="423"/>
      <c r="B55" s="424"/>
      <c r="C55" s="424"/>
      <c r="D55" s="424"/>
      <c r="E55" s="424"/>
      <c r="F55" s="424"/>
      <c r="G55" s="425"/>
      <c r="H55" s="424"/>
      <c r="I55" s="424"/>
      <c r="J55" s="424"/>
      <c r="K55" s="424"/>
      <c r="L55" s="424"/>
    </row>
    <row r="56" spans="1:12" ht="14.5" x14ac:dyDescent="0.35">
      <c r="B56" s="379" t="s">
        <v>894</v>
      </c>
      <c r="C56" s="380" t="str">
        <f>Development!B6&amp;"_"&amp;Version</f>
        <v>1.22.2024_2.0</v>
      </c>
      <c r="K56" s="381" t="s">
        <v>895</v>
      </c>
      <c r="L56" s="382" t="str">
        <f>Development!B6</f>
        <v>1.22.2024</v>
      </c>
    </row>
    <row r="57" spans="1:12" ht="14.5" x14ac:dyDescent="0.35"/>
    <row r="58" spans="1:12" ht="14.5" x14ac:dyDescent="0.35"/>
    <row r="59" spans="1:12" ht="14.5" x14ac:dyDescent="0.35"/>
    <row r="60" spans="1:12" ht="15" customHeight="1" x14ac:dyDescent="0.35"/>
  </sheetData>
  <sheetProtection algorithmName="SHA-512" hashValue="3CePwuplSiuBlOOja34a0f94DdYtr0l+UJ4uGZtEeSws0CyEFxcRFSFW6zFlScJT4o0ZYD4AiPZw5u1TLnLxPg==" saltValue="KAa8KdRPKQ5qGwFQakBx3A==" spinCount="100000" sheet="1" objects="1" scenarios="1"/>
  <mergeCells count="71">
    <mergeCell ref="B23:L23"/>
    <mergeCell ref="B43:L43"/>
    <mergeCell ref="B24:K24"/>
    <mergeCell ref="B25:L25"/>
    <mergeCell ref="B27:L27"/>
    <mergeCell ref="A28:L28"/>
    <mergeCell ref="B30:L30"/>
    <mergeCell ref="B31:L31"/>
    <mergeCell ref="B26:L26"/>
    <mergeCell ref="B15:L15"/>
    <mergeCell ref="B16:L16"/>
    <mergeCell ref="B20:L20"/>
    <mergeCell ref="B21:L21"/>
    <mergeCell ref="B22:L22"/>
    <mergeCell ref="B10:L10"/>
    <mergeCell ref="B11:L11"/>
    <mergeCell ref="B12:L12"/>
    <mergeCell ref="B13:L13"/>
    <mergeCell ref="B14:L14"/>
    <mergeCell ref="B5:L5"/>
    <mergeCell ref="FF2:FO2"/>
    <mergeCell ref="FP2:FY2"/>
    <mergeCell ref="FZ2:GI2"/>
    <mergeCell ref="GJ2:GS2"/>
    <mergeCell ref="HN2:HW2"/>
    <mergeCell ref="HX2:IG2"/>
    <mergeCell ref="IH2:IQ2"/>
    <mergeCell ref="IR2:IV2"/>
    <mergeCell ref="A4:L4"/>
    <mergeCell ref="HD2:HM2"/>
    <mergeCell ref="CX2:DG2"/>
    <mergeCell ref="DH2:DQ2"/>
    <mergeCell ref="DR2:EA2"/>
    <mergeCell ref="EB2:EK2"/>
    <mergeCell ref="EL2:EU2"/>
    <mergeCell ref="EV2:FE2"/>
    <mergeCell ref="BJ2:BS2"/>
    <mergeCell ref="BT2:CC2"/>
    <mergeCell ref="CD2:CM2"/>
    <mergeCell ref="CN2:CW2"/>
    <mergeCell ref="GT2:HC2"/>
    <mergeCell ref="A2:G2"/>
    <mergeCell ref="V2:AE2"/>
    <mergeCell ref="AF2:AO2"/>
    <mergeCell ref="AP2:AY2"/>
    <mergeCell ref="AZ2:BI2"/>
    <mergeCell ref="HD1:HM1"/>
    <mergeCell ref="HN1:HW1"/>
    <mergeCell ref="HX1:IG1"/>
    <mergeCell ref="IH1:IQ1"/>
    <mergeCell ref="IR1:IV1"/>
    <mergeCell ref="FF1:FO1"/>
    <mergeCell ref="FP1:FY1"/>
    <mergeCell ref="FZ1:GI1"/>
    <mergeCell ref="GJ1:GS1"/>
    <mergeCell ref="GT1:HC1"/>
    <mergeCell ref="DH1:DQ1"/>
    <mergeCell ref="DR1:EA1"/>
    <mergeCell ref="EB1:EK1"/>
    <mergeCell ref="EL1:EU1"/>
    <mergeCell ref="EV1:FE1"/>
    <mergeCell ref="BJ1:BS1"/>
    <mergeCell ref="BT1:CC1"/>
    <mergeCell ref="CD1:CM1"/>
    <mergeCell ref="CN1:CW1"/>
    <mergeCell ref="CX1:DG1"/>
    <mergeCell ref="A1:G1"/>
    <mergeCell ref="V1:AE1"/>
    <mergeCell ref="AF1:AO1"/>
    <mergeCell ref="AP1:AY1"/>
    <mergeCell ref="AZ1:BI1"/>
  </mergeCells>
  <hyperlinks>
    <hyperlink ref="D33" r:id="rId1" xr:uid="{00000000-0004-0000-0300-000000000000}"/>
    <hyperlink ref="B6" r:id="rId2" xr:uid="{00000000-0004-0000-0300-000001000000}"/>
    <hyperlink ref="B19" r:id="rId3" xr:uid="{00000000-0004-0000-0300-000002000000}"/>
    <hyperlink ref="B17" r:id="rId4" xr:uid="{00000000-0004-0000-0300-000003000000}"/>
  </hyperlinks>
  <pageMargins left="0.2" right="0.2" top="0.5" bottom="0.5" header="0.3" footer="0.3"/>
  <pageSetup scale="68" orientation="portrait" r:id="rId5"/>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rgb="FF00B050"/>
    <pageSetUpPr fitToPage="1"/>
  </sheetPr>
  <dimension ref="A1:M79"/>
  <sheetViews>
    <sheetView showGridLines="0" zoomScaleNormal="100" workbookViewId="0"/>
  </sheetViews>
  <sheetFormatPr defaultColWidth="0" defaultRowHeight="16.5" customHeight="1" zeroHeight="1" x14ac:dyDescent="0.3"/>
  <cols>
    <col min="1" max="1" width="3.54296875" style="2" customWidth="1"/>
    <col min="2" max="2" width="13.81640625" style="2" customWidth="1"/>
    <col min="3" max="3" width="50.54296875" style="2" customWidth="1"/>
    <col min="4" max="4" width="8.81640625" style="2" customWidth="1"/>
    <col min="5" max="5" width="14" style="2" customWidth="1"/>
    <col min="6" max="6" width="26.453125" style="2" customWidth="1"/>
    <col min="7" max="7" width="29" style="2" customWidth="1"/>
    <col min="8" max="8" width="4.1796875" style="2" customWidth="1"/>
    <col min="9" max="13" width="8.81640625" style="2" hidden="1" customWidth="1"/>
    <col min="14" max="16384" width="9.1796875" style="2" hidden="1"/>
  </cols>
  <sheetData>
    <row r="1" spans="1:10" s="634" customFormat="1" ht="60" customHeight="1" x14ac:dyDescent="0.3">
      <c r="A1" s="798"/>
      <c r="B1" s="1022" t="str">
        <f>Development!B4&amp;" "&amp; "Commercial Efficiency Program"</f>
        <v>2024 Commercial Efficiency Program</v>
      </c>
      <c r="C1" s="1022"/>
      <c r="D1" s="1022"/>
      <c r="E1" s="1022"/>
      <c r="F1" s="835"/>
      <c r="G1" s="800"/>
      <c r="H1" s="801"/>
      <c r="I1" s="633"/>
      <c r="J1" s="633"/>
    </row>
    <row r="2" spans="1:10" s="634" customFormat="1" ht="60" customHeight="1" thickBot="1" x14ac:dyDescent="0.35">
      <c r="A2" s="799"/>
      <c r="B2" s="1023" t="s">
        <v>1164</v>
      </c>
      <c r="C2" s="1023"/>
      <c r="D2" s="1023"/>
      <c r="E2" s="1023"/>
      <c r="F2" s="836"/>
      <c r="G2" s="791"/>
      <c r="H2" s="802"/>
      <c r="I2" s="426"/>
      <c r="J2" s="426"/>
    </row>
    <row r="3" spans="1:10" ht="14.5" thickTop="1" x14ac:dyDescent="0.3"/>
    <row r="4" spans="1:10" ht="18" customHeight="1" thickBot="1" x14ac:dyDescent="0.35">
      <c r="B4" s="803" t="s">
        <v>1165</v>
      </c>
      <c r="C4" s="428"/>
      <c r="D4" s="428"/>
      <c r="E4" s="428"/>
      <c r="F4" s="428"/>
      <c r="G4" s="429"/>
    </row>
    <row r="5" spans="1:10" ht="27" customHeight="1" x14ac:dyDescent="0.3">
      <c r="B5" s="361" t="s">
        <v>1166</v>
      </c>
      <c r="D5" s="367" t="s">
        <v>1167</v>
      </c>
      <c r="E5" s="367"/>
      <c r="G5" s="367" t="s">
        <v>1168</v>
      </c>
    </row>
    <row r="6" spans="1:10" ht="18" customHeight="1" x14ac:dyDescent="0.3">
      <c r="B6" s="430"/>
      <c r="D6" s="2" t="s">
        <v>1169</v>
      </c>
      <c r="G6" s="2" t="s">
        <v>1170</v>
      </c>
    </row>
    <row r="7" spans="1:10" ht="18" customHeight="1" x14ac:dyDescent="0.3">
      <c r="B7" s="430"/>
      <c r="D7" s="2" t="s">
        <v>1171</v>
      </c>
      <c r="G7" s="2" t="s">
        <v>1170</v>
      </c>
    </row>
    <row r="8" spans="1:10" ht="18" customHeight="1" x14ac:dyDescent="0.3">
      <c r="B8" s="430"/>
      <c r="D8" s="2" t="s">
        <v>1169</v>
      </c>
      <c r="G8" s="2" t="s">
        <v>1170</v>
      </c>
    </row>
    <row r="9" spans="1:10" ht="18" customHeight="1" x14ac:dyDescent="0.3">
      <c r="B9" s="430"/>
      <c r="D9" s="2" t="s">
        <v>1171</v>
      </c>
      <c r="G9" s="2" t="s">
        <v>1170</v>
      </c>
    </row>
    <row r="10" spans="1:10" ht="18" customHeight="1" x14ac:dyDescent="0.3">
      <c r="B10" s="430"/>
      <c r="D10" s="373" t="s">
        <v>1172</v>
      </c>
      <c r="E10" s="373"/>
      <c r="G10" s="2" t="s">
        <v>1170</v>
      </c>
    </row>
    <row r="11" spans="1:10" ht="18" customHeight="1" x14ac:dyDescent="0.3">
      <c r="B11" s="430"/>
      <c r="D11" s="2" t="s">
        <v>1169</v>
      </c>
      <c r="G11" s="431" t="s">
        <v>1170</v>
      </c>
    </row>
    <row r="12" spans="1:10" ht="18" customHeight="1" x14ac:dyDescent="0.3">
      <c r="B12" s="430"/>
      <c r="D12" s="373" t="s">
        <v>1172</v>
      </c>
      <c r="E12" s="373"/>
      <c r="G12" s="2" t="s">
        <v>1170</v>
      </c>
    </row>
    <row r="13" spans="1:10" ht="18" customHeight="1" x14ac:dyDescent="0.3">
      <c r="B13" s="430"/>
      <c r="D13" s="2" t="s">
        <v>1169</v>
      </c>
      <c r="G13" s="2" t="s">
        <v>1173</v>
      </c>
    </row>
    <row r="14" spans="1:10" ht="18" customHeight="1" x14ac:dyDescent="0.3">
      <c r="B14" s="430"/>
      <c r="D14" s="2" t="s">
        <v>1169</v>
      </c>
      <c r="G14" s="2" t="s">
        <v>1173</v>
      </c>
    </row>
    <row r="15" spans="1:10" ht="18" customHeight="1" x14ac:dyDescent="0.3">
      <c r="B15" s="430"/>
      <c r="D15" s="2" t="s">
        <v>1172</v>
      </c>
      <c r="G15" s="2" t="s">
        <v>1173</v>
      </c>
    </row>
    <row r="16" spans="1:10" ht="18" customHeight="1" x14ac:dyDescent="0.3">
      <c r="B16" s="430"/>
      <c r="G16" s="431"/>
    </row>
    <row r="17" spans="2:8" ht="18" hidden="1" customHeight="1" thickBot="1" x14ac:dyDescent="0.35">
      <c r="B17" s="427" t="s">
        <v>1765</v>
      </c>
      <c r="C17" s="428"/>
      <c r="D17" s="428"/>
      <c r="E17" s="428"/>
      <c r="F17" s="428"/>
      <c r="G17" s="429"/>
    </row>
    <row r="18" spans="2:8" ht="27" hidden="1" customHeight="1" x14ac:dyDescent="0.3">
      <c r="B18" s="361" t="s">
        <v>1166</v>
      </c>
      <c r="D18" s="367" t="s">
        <v>1167</v>
      </c>
      <c r="G18" s="367" t="s">
        <v>1168</v>
      </c>
    </row>
    <row r="19" spans="2:8" ht="18" hidden="1" customHeight="1" x14ac:dyDescent="0.3">
      <c r="B19" s="361"/>
      <c r="D19" s="2" t="s">
        <v>1557</v>
      </c>
      <c r="E19" s="367"/>
      <c r="G19" s="2" t="s">
        <v>1170</v>
      </c>
    </row>
    <row r="20" spans="2:8" ht="18" hidden="1" customHeight="1" x14ac:dyDescent="0.3">
      <c r="B20" s="361"/>
      <c r="D20" s="2" t="s">
        <v>1557</v>
      </c>
      <c r="E20" s="367"/>
      <c r="G20" s="2" t="s">
        <v>1170</v>
      </c>
    </row>
    <row r="21" spans="2:8" ht="18" hidden="1" customHeight="1" x14ac:dyDescent="0.3">
      <c r="B21" s="361"/>
      <c r="D21" s="367"/>
      <c r="E21" s="367"/>
      <c r="G21" s="367"/>
    </row>
    <row r="22" spans="2:8" ht="18" hidden="1" customHeight="1" x14ac:dyDescent="0.3">
      <c r="B22" s="430"/>
      <c r="G22" s="431"/>
    </row>
    <row r="23" spans="2:8" ht="21" customHeight="1" x14ac:dyDescent="0.3">
      <c r="B23" s="432" t="s">
        <v>1174</v>
      </c>
    </row>
    <row r="24" spans="2:8" ht="21" customHeight="1" x14ac:dyDescent="0.3">
      <c r="B24" s="432"/>
    </row>
    <row r="25" spans="2:8" ht="21" customHeight="1" x14ac:dyDescent="0.35">
      <c r="B25" s="1045" t="s">
        <v>1175</v>
      </c>
      <c r="C25" s="1046"/>
      <c r="D25" s="304"/>
      <c r="E25" s="300" t="s">
        <v>1137</v>
      </c>
    </row>
    <row r="26" spans="2:8" ht="21" customHeight="1" x14ac:dyDescent="0.35">
      <c r="B26" s="396"/>
      <c r="C26" s="396"/>
      <c r="D26" s="396"/>
      <c r="E26" s="396"/>
      <c r="F26" s="396"/>
      <c r="G26" s="396"/>
      <c r="H26" s="300"/>
    </row>
    <row r="27" spans="2:8" s="300" customFormat="1" ht="21" customHeight="1" x14ac:dyDescent="0.3">
      <c r="B27" s="433"/>
    </row>
    <row r="28" spans="2:8" ht="21" customHeight="1" x14ac:dyDescent="0.3">
      <c r="B28" s="373"/>
    </row>
    <row r="29" spans="2:8" ht="21" customHeight="1" x14ac:dyDescent="0.3">
      <c r="B29" s="430"/>
    </row>
    <row r="30" spans="2:8" ht="21" customHeight="1" x14ac:dyDescent="0.3">
      <c r="B30" s="430"/>
    </row>
    <row r="31" spans="2:8" ht="21" customHeight="1" x14ac:dyDescent="0.3">
      <c r="B31" s="430"/>
    </row>
    <row r="32" spans="2:8" ht="21" customHeight="1" x14ac:dyDescent="0.3">
      <c r="B32" s="430"/>
    </row>
    <row r="33" spans="2:7" ht="21" customHeight="1" x14ac:dyDescent="0.3">
      <c r="B33" s="430"/>
      <c r="D33" s="1047"/>
      <c r="E33" s="1047"/>
      <c r="F33" s="1047"/>
      <c r="G33" s="373"/>
    </row>
    <row r="34" spans="2:7" ht="21" customHeight="1" x14ac:dyDescent="0.3">
      <c r="B34" s="430"/>
      <c r="D34" s="1047"/>
      <c r="E34" s="1047"/>
      <c r="F34" s="1047"/>
    </row>
    <row r="35" spans="2:7" s="11" customFormat="1" ht="21" customHeight="1" x14ac:dyDescent="0.3"/>
    <row r="36" spans="2:7" ht="13.4" customHeight="1" x14ac:dyDescent="0.3"/>
    <row r="37" spans="2:7" ht="13.4" customHeight="1" x14ac:dyDescent="0.3"/>
    <row r="38" spans="2:7" ht="15.65" customHeight="1" x14ac:dyDescent="0.3">
      <c r="C38" s="434"/>
      <c r="D38" s="11"/>
      <c r="E38" s="11"/>
      <c r="F38" s="375"/>
    </row>
    <row r="39" spans="2:7" ht="14" x14ac:dyDescent="0.3">
      <c r="G39" s="338"/>
    </row>
    <row r="40" spans="2:7" ht="14" x14ac:dyDescent="0.3"/>
    <row r="41" spans="2:7" ht="14" x14ac:dyDescent="0.3"/>
    <row r="42" spans="2:7" ht="14" x14ac:dyDescent="0.3"/>
    <row r="43" spans="2:7" ht="14" x14ac:dyDescent="0.3"/>
    <row r="44" spans="2:7" ht="14" x14ac:dyDescent="0.3"/>
    <row r="45" spans="2:7" ht="14" x14ac:dyDescent="0.3"/>
    <row r="46" spans="2:7" ht="14" x14ac:dyDescent="0.3"/>
    <row r="47" spans="2:7" ht="14" x14ac:dyDescent="0.3"/>
    <row r="48" spans="2:7" ht="14" x14ac:dyDescent="0.3"/>
    <row r="49" spans="2:7" ht="14" x14ac:dyDescent="0.3"/>
    <row r="50" spans="2:7" ht="14" x14ac:dyDescent="0.3"/>
    <row r="51" spans="2:7" ht="14" x14ac:dyDescent="0.3"/>
    <row r="52" spans="2:7" ht="14" x14ac:dyDescent="0.3"/>
    <row r="53" spans="2:7" ht="14" x14ac:dyDescent="0.3"/>
    <row r="54" spans="2:7" ht="14" x14ac:dyDescent="0.3"/>
    <row r="55" spans="2:7" ht="14" x14ac:dyDescent="0.3"/>
    <row r="56" spans="2:7" ht="14" x14ac:dyDescent="0.3"/>
    <row r="57" spans="2:7" ht="14" x14ac:dyDescent="0.3"/>
    <row r="58" spans="2:7" ht="14" x14ac:dyDescent="0.3">
      <c r="B58" s="277"/>
      <c r="C58" s="277"/>
      <c r="D58" s="277"/>
      <c r="E58" s="277"/>
      <c r="F58" s="277"/>
      <c r="G58" s="277"/>
    </row>
    <row r="59" spans="2:7" ht="14" x14ac:dyDescent="0.3">
      <c r="B59" s="379" t="s">
        <v>894</v>
      </c>
      <c r="C59" s="380" t="str">
        <f>Development!B6&amp;"_"&amp;Version</f>
        <v>1.22.2024_2.0</v>
      </c>
      <c r="F59" s="381" t="s">
        <v>895</v>
      </c>
      <c r="G59" s="382" t="str">
        <f>Development!B6</f>
        <v>1.22.2024</v>
      </c>
    </row>
    <row r="60" spans="2:7" ht="14" x14ac:dyDescent="0.3"/>
    <row r="61" spans="2:7" ht="14" x14ac:dyDescent="0.3"/>
    <row r="62" spans="2:7" ht="14" x14ac:dyDescent="0.3"/>
    <row r="63" spans="2:7" ht="14" x14ac:dyDescent="0.3"/>
    <row r="64" spans="2:7" ht="14" x14ac:dyDescent="0.3"/>
    <row r="65" ht="14"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sheetData>
  <sheetProtection algorithmName="SHA-512" hashValue="M59V60aRQ8ocn+b+9NtYGAzhqhXsQ/39hVQd6Zcq+29DY7tpRk2uYeu7+fsZKegv5UY7A/f1p5xIhQuFAC670w==" saltValue="08dq+idkbPIBgWV1wV/0PQ==" spinCount="100000" sheet="1" objects="1" scenarios="1"/>
  <mergeCells count="5">
    <mergeCell ref="B1:E1"/>
    <mergeCell ref="B2:E2"/>
    <mergeCell ref="B25:C25"/>
    <mergeCell ref="D33:F33"/>
    <mergeCell ref="D34:F34"/>
  </mergeCells>
  <printOptions horizontalCentered="1"/>
  <pageMargins left="0" right="0" top="0.25" bottom="0.25" header="0.3" footer="0.3"/>
  <pageSetup scale="7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1</xdr:col>
                    <xdr:colOff>1200150</xdr:colOff>
                    <xdr:row>5</xdr:row>
                    <xdr:rowOff>69850</xdr:rowOff>
                  </from>
                  <to>
                    <xdr:col>2</xdr:col>
                    <xdr:colOff>11106150</xdr:colOff>
                    <xdr:row>6</xdr:row>
                    <xdr:rowOff>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1</xdr:col>
                    <xdr:colOff>1200150</xdr:colOff>
                    <xdr:row>6</xdr:row>
                    <xdr:rowOff>69850</xdr:rowOff>
                  </from>
                  <to>
                    <xdr:col>2</xdr:col>
                    <xdr:colOff>9353550</xdr:colOff>
                    <xdr:row>7</xdr:row>
                    <xdr:rowOff>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xdr:col>
                    <xdr:colOff>1200150</xdr:colOff>
                    <xdr:row>12</xdr:row>
                    <xdr:rowOff>69850</xdr:rowOff>
                  </from>
                  <to>
                    <xdr:col>2</xdr:col>
                    <xdr:colOff>9353550</xdr:colOff>
                    <xdr:row>13</xdr:row>
                    <xdr:rowOff>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1</xdr:col>
                    <xdr:colOff>1200150</xdr:colOff>
                    <xdr:row>8</xdr:row>
                    <xdr:rowOff>50800</xdr:rowOff>
                  </from>
                  <to>
                    <xdr:col>2</xdr:col>
                    <xdr:colOff>9353550</xdr:colOff>
                    <xdr:row>9</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1</xdr:col>
                    <xdr:colOff>1200150</xdr:colOff>
                    <xdr:row>13</xdr:row>
                    <xdr:rowOff>69850</xdr:rowOff>
                  </from>
                  <to>
                    <xdr:col>2</xdr:col>
                    <xdr:colOff>9353550</xdr:colOff>
                    <xdr:row>14</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1</xdr:col>
                    <xdr:colOff>1200150</xdr:colOff>
                    <xdr:row>11</xdr:row>
                    <xdr:rowOff>69850</xdr:rowOff>
                  </from>
                  <to>
                    <xdr:col>2</xdr:col>
                    <xdr:colOff>9353550</xdr:colOff>
                    <xdr:row>12</xdr:row>
                    <xdr:rowOff>0</xdr:rowOff>
                  </to>
                </anchor>
              </controlPr>
            </control>
          </mc:Choice>
        </mc:AlternateContent>
        <mc:AlternateContent xmlns:mc="http://schemas.openxmlformats.org/markup-compatibility/2006">
          <mc:Choice Requires="x14">
            <control shapeId="29712" r:id="rId12" name="Check Box 16">
              <controlPr defaultSize="0" autoFill="0" autoLine="0" autoPict="0">
                <anchor moveWithCells="1">
                  <from>
                    <xdr:col>1</xdr:col>
                    <xdr:colOff>1200150</xdr:colOff>
                    <xdr:row>9</xdr:row>
                    <xdr:rowOff>69850</xdr:rowOff>
                  </from>
                  <to>
                    <xdr:col>2</xdr:col>
                    <xdr:colOff>9353550</xdr:colOff>
                    <xdr:row>10</xdr:row>
                    <xdr:rowOff>0</xdr:rowOff>
                  </to>
                </anchor>
              </controlPr>
            </control>
          </mc:Choice>
        </mc:AlternateContent>
        <mc:AlternateContent xmlns:mc="http://schemas.openxmlformats.org/markup-compatibility/2006">
          <mc:Choice Requires="x14">
            <control shapeId="29714" r:id="rId13" name="Check Box 18">
              <controlPr defaultSize="0" autoFill="0" autoLine="0" autoPict="0">
                <anchor moveWithCells="1">
                  <from>
                    <xdr:col>2</xdr:col>
                    <xdr:colOff>12700</xdr:colOff>
                    <xdr:row>10</xdr:row>
                    <xdr:rowOff>76200</xdr:rowOff>
                  </from>
                  <to>
                    <xdr:col>3</xdr:col>
                    <xdr:colOff>12700</xdr:colOff>
                    <xdr:row>10</xdr:row>
                    <xdr:rowOff>222250</xdr:rowOff>
                  </to>
                </anchor>
              </controlPr>
            </control>
          </mc:Choice>
        </mc:AlternateContent>
        <mc:AlternateContent xmlns:mc="http://schemas.openxmlformats.org/markup-compatibility/2006">
          <mc:Choice Requires="x14">
            <control shapeId="29717" r:id="rId14" name="Check Box 21">
              <controlPr defaultSize="0" autoFill="0" autoLine="0" autoPict="0">
                <anchor moveWithCells="1">
                  <from>
                    <xdr:col>1</xdr:col>
                    <xdr:colOff>1200150</xdr:colOff>
                    <xdr:row>7</xdr:row>
                    <xdr:rowOff>69850</xdr:rowOff>
                  </from>
                  <to>
                    <xdr:col>2</xdr:col>
                    <xdr:colOff>9353550</xdr:colOff>
                    <xdr:row>8</xdr:row>
                    <xdr:rowOff>0</xdr:rowOff>
                  </to>
                </anchor>
              </controlPr>
            </control>
          </mc:Choice>
        </mc:AlternateContent>
        <mc:AlternateContent xmlns:mc="http://schemas.openxmlformats.org/markup-compatibility/2006">
          <mc:Choice Requires="x14">
            <control shapeId="29722" r:id="rId15" name="Check Box 26">
              <controlPr defaultSize="0" autoFill="0" autoLine="0" autoPict="0">
                <anchor moveWithCells="1">
                  <from>
                    <xdr:col>2</xdr:col>
                    <xdr:colOff>0</xdr:colOff>
                    <xdr:row>14</xdr:row>
                    <xdr:rowOff>57150</xdr:rowOff>
                  </from>
                  <to>
                    <xdr:col>2</xdr:col>
                    <xdr:colOff>2133600</xdr:colOff>
                    <xdr:row>15</xdr:row>
                    <xdr:rowOff>50800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D94F00"/>
    <pageSetUpPr fitToPage="1"/>
  </sheetPr>
  <dimension ref="A1:IT129"/>
  <sheetViews>
    <sheetView showGridLines="0" zoomScaleNormal="100" workbookViewId="0"/>
  </sheetViews>
  <sheetFormatPr defaultColWidth="0" defaultRowHeight="0" customHeight="1" zeroHeight="1" x14ac:dyDescent="0.3"/>
  <cols>
    <col min="1" max="1" width="3.54296875" style="451" customWidth="1"/>
    <col min="2" max="2" width="3.453125" style="451" customWidth="1"/>
    <col min="3" max="3" width="23.81640625" style="454" customWidth="1"/>
    <col min="4" max="4" width="41.7265625" style="454" customWidth="1"/>
    <col min="5" max="5" width="19.81640625" style="451" customWidth="1"/>
    <col min="6" max="6" width="18.453125" style="451" customWidth="1"/>
    <col min="7" max="7" width="3.54296875" style="451" customWidth="1"/>
    <col min="8" max="8" width="20.453125" style="451" customWidth="1"/>
    <col min="9" max="10" width="17.7265625" style="451" customWidth="1"/>
    <col min="11" max="11" width="8.453125" style="10" customWidth="1"/>
    <col min="12" max="12" width="9.1796875" style="10" customWidth="1"/>
    <col min="13" max="13" width="9.1796875" style="451" customWidth="1"/>
    <col min="14" max="14" width="5.453125" style="451" customWidth="1"/>
    <col min="15" max="244" width="9.1796875" style="451" hidden="1" customWidth="1"/>
    <col min="245" max="245" width="19.54296875" style="451" hidden="1" customWidth="1"/>
    <col min="246" max="250" width="9.1796875" style="451" hidden="1" customWidth="1"/>
    <col min="251" max="252" width="19.54296875" style="451" hidden="1" customWidth="1"/>
    <col min="253" max="254" width="9.1796875" style="451" hidden="1" customWidth="1"/>
    <col min="255" max="16384" width="19.54296875" style="451" hidden="1"/>
  </cols>
  <sheetData>
    <row r="1" spans="1:245" s="2" customFormat="1" ht="60" customHeight="1" x14ac:dyDescent="0.3">
      <c r="A1" s="798"/>
      <c r="B1" s="1071" t="str">
        <f>Development!B2</f>
        <v>Commercial Efficiency Program</v>
      </c>
      <c r="C1" s="1071"/>
      <c r="D1" s="1071"/>
      <c r="E1" s="1071"/>
      <c r="F1" s="1071"/>
      <c r="G1" s="1071"/>
      <c r="H1" s="833"/>
      <c r="I1" s="833"/>
      <c r="J1" s="833"/>
      <c r="K1" s="804"/>
      <c r="L1" s="804"/>
      <c r="M1" s="804"/>
      <c r="N1" s="804"/>
    </row>
    <row r="2" spans="1:245" s="435" customFormat="1" ht="60" customHeight="1" thickBot="1" x14ac:dyDescent="0.35">
      <c r="A2" s="799"/>
      <c r="B2" s="1072" t="s">
        <v>809</v>
      </c>
      <c r="C2" s="1072"/>
      <c r="D2" s="1072"/>
      <c r="E2" s="1072"/>
      <c r="F2" s="1072"/>
      <c r="G2" s="1072"/>
      <c r="H2" s="834"/>
      <c r="I2" s="834"/>
      <c r="J2" s="834"/>
      <c r="K2" s="805"/>
      <c r="L2" s="805"/>
      <c r="M2" s="805"/>
      <c r="N2" s="805"/>
    </row>
    <row r="3" spans="1:245" s="436" customFormat="1" ht="34.5" customHeight="1" thickTop="1" x14ac:dyDescent="0.35">
      <c r="B3" s="1073" t="s">
        <v>1941</v>
      </c>
      <c r="C3" s="1073"/>
      <c r="D3" s="1073"/>
      <c r="E3" s="1073"/>
      <c r="F3" s="1073"/>
      <c r="G3" s="1073"/>
      <c r="H3" s="1073"/>
      <c r="I3" s="1073"/>
      <c r="J3" s="1073"/>
      <c r="K3" s="1073"/>
      <c r="L3" s="1073"/>
      <c r="M3" s="1073"/>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row>
    <row r="4" spans="1:245" s="436" customFormat="1" ht="25" customHeight="1" x14ac:dyDescent="0.35">
      <c r="B4" s="806" t="s">
        <v>839</v>
      </c>
      <c r="C4" s="437"/>
      <c r="D4" s="437"/>
      <c r="E4" s="437"/>
      <c r="F4" s="437"/>
      <c r="G4" s="437"/>
      <c r="H4" s="437"/>
      <c r="I4" s="437"/>
      <c r="J4" s="437"/>
    </row>
    <row r="5" spans="1:245" s="431" customFormat="1" ht="16.5" customHeight="1" x14ac:dyDescent="0.35">
      <c r="B5" s="658" t="s">
        <v>1865</v>
      </c>
      <c r="C5" s="439" t="s">
        <v>1940</v>
      </c>
      <c r="D5" s="439"/>
      <c r="E5" s="438"/>
      <c r="F5" s="438"/>
      <c r="G5" s="438"/>
      <c r="H5" s="438"/>
      <c r="I5" s="438"/>
      <c r="J5" s="438"/>
    </row>
    <row r="6" spans="1:245" s="431" customFormat="1" ht="16.5" customHeight="1" x14ac:dyDescent="0.35">
      <c r="B6" s="658" t="s">
        <v>1865</v>
      </c>
      <c r="C6" s="439" t="s">
        <v>1771</v>
      </c>
      <c r="D6" s="439"/>
      <c r="E6" s="438"/>
      <c r="F6" s="438"/>
      <c r="G6" s="438"/>
      <c r="H6" s="438"/>
      <c r="I6" s="438"/>
      <c r="J6" s="438"/>
    </row>
    <row r="7" spans="1:245" s="431" customFormat="1" ht="16.5" customHeight="1" x14ac:dyDescent="0.35">
      <c r="B7" s="658" t="s">
        <v>1865</v>
      </c>
      <c r="C7" s="439" t="s">
        <v>1942</v>
      </c>
      <c r="D7" s="439"/>
      <c r="E7" s="438"/>
      <c r="F7" s="438"/>
      <c r="G7" s="438"/>
      <c r="H7" s="438"/>
      <c r="I7" s="438"/>
      <c r="J7" s="438"/>
    </row>
    <row r="8" spans="1:245" s="760" customFormat="1" ht="16.5" customHeight="1" x14ac:dyDescent="0.35">
      <c r="B8" s="761" t="s">
        <v>1865</v>
      </c>
      <c r="C8" s="762" t="s">
        <v>2355</v>
      </c>
      <c r="D8" s="762"/>
      <c r="E8" s="763"/>
      <c r="F8" s="763"/>
      <c r="G8" s="763"/>
      <c r="H8" s="763"/>
      <c r="I8" s="763"/>
      <c r="J8" s="763"/>
    </row>
    <row r="9" spans="1:245" s="760" customFormat="1" ht="16.5" customHeight="1" x14ac:dyDescent="0.35">
      <c r="B9" s="761" t="s">
        <v>1865</v>
      </c>
      <c r="C9" s="762" t="s">
        <v>2209</v>
      </c>
      <c r="D9" s="762"/>
      <c r="E9" s="763"/>
      <c r="F9" s="763"/>
      <c r="G9" s="763"/>
      <c r="H9" s="763"/>
      <c r="I9" s="763"/>
      <c r="J9" s="763"/>
    </row>
    <row r="10" spans="1:245" s="431" customFormat="1" ht="16.5" customHeight="1" x14ac:dyDescent="0.35">
      <c r="B10" s="658"/>
      <c r="C10" s="439"/>
      <c r="D10" s="439"/>
      <c r="E10" s="438"/>
      <c r="F10" s="438"/>
      <c r="G10" s="438"/>
      <c r="H10" s="438"/>
      <c r="I10" s="438"/>
      <c r="J10" s="438"/>
    </row>
    <row r="11" spans="1:245" s="578" customFormat="1" ht="23.25" customHeight="1" x14ac:dyDescent="0.35">
      <c r="C11" s="579"/>
      <c r="D11" s="579"/>
      <c r="E11" s="580"/>
      <c r="F11" s="582"/>
      <c r="G11" s="581"/>
      <c r="H11" s="580"/>
      <c r="I11" s="580"/>
      <c r="J11" s="583"/>
    </row>
    <row r="12" spans="1:245" s="578" customFormat="1" ht="57" customHeight="1" x14ac:dyDescent="0.35">
      <c r="C12" s="1074" t="s">
        <v>120</v>
      </c>
      <c r="D12" s="1075"/>
      <c r="E12" s="1075"/>
      <c r="F12" s="1076"/>
      <c r="G12" s="807"/>
      <c r="H12" s="1074" t="s">
        <v>1374</v>
      </c>
      <c r="I12" s="1075"/>
      <c r="J12" s="1076"/>
    </row>
    <row r="13" spans="1:245" s="578" customFormat="1" ht="42" customHeight="1" x14ac:dyDescent="0.35">
      <c r="C13" s="442" t="s">
        <v>9</v>
      </c>
      <c r="D13" s="442" t="s">
        <v>1371</v>
      </c>
      <c r="E13" s="442" t="s">
        <v>24</v>
      </c>
      <c r="F13" s="443" t="s">
        <v>10</v>
      </c>
      <c r="G13" s="444"/>
      <c r="H13" s="442" t="s">
        <v>171</v>
      </c>
      <c r="I13" s="442" t="s">
        <v>328</v>
      </c>
      <c r="J13" s="442" t="s">
        <v>1370</v>
      </c>
    </row>
    <row r="14" spans="1:245" s="441" customFormat="1" ht="54" customHeight="1" x14ac:dyDescent="0.35">
      <c r="C14" s="1060" t="s">
        <v>932</v>
      </c>
      <c r="D14" s="528"/>
      <c r="E14" s="449" t="s">
        <v>931</v>
      </c>
      <c r="F14" s="447" t="s">
        <v>172</v>
      </c>
      <c r="G14" s="448"/>
      <c r="H14" s="445" t="s">
        <v>933</v>
      </c>
      <c r="I14" s="445" t="s">
        <v>934</v>
      </c>
      <c r="J14" s="533">
        <v>0.55000000000000004</v>
      </c>
    </row>
    <row r="15" spans="1:245" s="441" customFormat="1" ht="54" customHeight="1" x14ac:dyDescent="0.35">
      <c r="C15" s="1061"/>
      <c r="D15" s="528"/>
      <c r="E15" s="450" t="s">
        <v>935</v>
      </c>
      <c r="F15" s="447" t="s">
        <v>172</v>
      </c>
      <c r="G15" s="448"/>
      <c r="H15" s="445" t="s">
        <v>936</v>
      </c>
      <c r="I15" s="445" t="s">
        <v>937</v>
      </c>
      <c r="J15" s="533">
        <v>0.55000000000000004</v>
      </c>
    </row>
    <row r="16" spans="1:245" s="441" customFormat="1" ht="54" customHeight="1" x14ac:dyDescent="0.35">
      <c r="C16" s="1062"/>
      <c r="D16" s="450"/>
      <c r="E16" s="449" t="s">
        <v>938</v>
      </c>
      <c r="F16" s="447" t="s">
        <v>172</v>
      </c>
      <c r="G16" s="448"/>
      <c r="H16" s="445" t="s">
        <v>234</v>
      </c>
      <c r="I16" s="445" t="s">
        <v>939</v>
      </c>
      <c r="J16" s="533">
        <v>0.55000000000000004</v>
      </c>
    </row>
    <row r="17" spans="2:16" s="441" customFormat="1" ht="144" customHeight="1" x14ac:dyDescent="0.35">
      <c r="C17" s="445" t="s">
        <v>173</v>
      </c>
      <c r="D17" s="445"/>
      <c r="E17" s="445" t="s">
        <v>90</v>
      </c>
      <c r="F17" s="447" t="s">
        <v>172</v>
      </c>
      <c r="G17" s="448"/>
      <c r="H17" s="445" t="s">
        <v>118</v>
      </c>
      <c r="I17" s="445" t="s">
        <v>329</v>
      </c>
      <c r="J17" s="533">
        <v>0.55000000000000004</v>
      </c>
    </row>
    <row r="18" spans="2:16" ht="73.75" customHeight="1" x14ac:dyDescent="0.3">
      <c r="C18" s="1049" t="s">
        <v>174</v>
      </c>
      <c r="D18" s="1060"/>
      <c r="E18" s="1049" t="s">
        <v>90</v>
      </c>
      <c r="F18" s="447" t="s">
        <v>11</v>
      </c>
      <c r="G18" s="448"/>
      <c r="H18" s="445" t="s">
        <v>940</v>
      </c>
      <c r="I18" s="445" t="s">
        <v>494</v>
      </c>
      <c r="J18" s="533">
        <v>0.55000000000000004</v>
      </c>
      <c r="K18" s="452"/>
      <c r="P18" s="441"/>
    </row>
    <row r="19" spans="2:16" ht="74.5" customHeight="1" x14ac:dyDescent="0.3">
      <c r="C19" s="1049"/>
      <c r="D19" s="1061"/>
      <c r="E19" s="1048"/>
      <c r="F19" s="447" t="s">
        <v>99</v>
      </c>
      <c r="G19" s="448"/>
      <c r="H19" s="445" t="s">
        <v>941</v>
      </c>
      <c r="I19" s="445" t="s">
        <v>495</v>
      </c>
      <c r="J19" s="533">
        <v>0.55000000000000004</v>
      </c>
      <c r="K19" s="452"/>
      <c r="P19" s="441"/>
    </row>
    <row r="20" spans="2:16" ht="36" customHeight="1" x14ac:dyDescent="0.3">
      <c r="C20" s="1049"/>
      <c r="D20" s="1061"/>
      <c r="E20" s="1049" t="s">
        <v>98</v>
      </c>
      <c r="F20" s="447" t="s">
        <v>11</v>
      </c>
      <c r="G20" s="448"/>
      <c r="H20" s="445" t="s">
        <v>2335</v>
      </c>
      <c r="I20" s="447" t="s">
        <v>496</v>
      </c>
      <c r="J20" s="533">
        <v>0.55000000000000004</v>
      </c>
    </row>
    <row r="21" spans="2:16" ht="36" customHeight="1" x14ac:dyDescent="0.3">
      <c r="C21" s="1049"/>
      <c r="D21" s="1061"/>
      <c r="E21" s="1049"/>
      <c r="F21" s="447" t="s">
        <v>99</v>
      </c>
      <c r="G21" s="448"/>
      <c r="H21" s="445" t="str">
        <f>H20</f>
        <v>12.6 EER
17 IEER</v>
      </c>
      <c r="I21" s="447" t="s">
        <v>497</v>
      </c>
      <c r="J21" s="533">
        <v>0.55000000000000004</v>
      </c>
    </row>
    <row r="22" spans="2:16" ht="36" customHeight="1" x14ac:dyDescent="0.3">
      <c r="C22" s="1049"/>
      <c r="D22" s="1061"/>
      <c r="E22" s="1049" t="s">
        <v>93</v>
      </c>
      <c r="F22" s="447" t="s">
        <v>11</v>
      </c>
      <c r="G22" s="448"/>
      <c r="H22" s="445" t="s">
        <v>2336</v>
      </c>
      <c r="I22" s="447" t="s">
        <v>498</v>
      </c>
      <c r="J22" s="533">
        <v>0.55000000000000004</v>
      </c>
    </row>
    <row r="23" spans="2:16" ht="36" customHeight="1" x14ac:dyDescent="0.3">
      <c r="C23" s="1049"/>
      <c r="D23" s="1061"/>
      <c r="E23" s="1049"/>
      <c r="F23" s="447" t="s">
        <v>99</v>
      </c>
      <c r="G23" s="448"/>
      <c r="H23" s="445" t="str">
        <f>H22</f>
        <v>12.3 EER
16.5 IEER</v>
      </c>
      <c r="I23" s="447" t="s">
        <v>499</v>
      </c>
      <c r="J23" s="533">
        <v>0.55000000000000004</v>
      </c>
    </row>
    <row r="24" spans="2:16" ht="36" customHeight="1" x14ac:dyDescent="0.3">
      <c r="C24" s="1049"/>
      <c r="D24" s="1061"/>
      <c r="E24" s="1049" t="s">
        <v>94</v>
      </c>
      <c r="F24" s="447" t="s">
        <v>11</v>
      </c>
      <c r="G24" s="448"/>
      <c r="H24" s="445" t="s">
        <v>2337</v>
      </c>
      <c r="I24" s="447" t="s">
        <v>500</v>
      </c>
      <c r="J24" s="533">
        <v>0.55000000000000004</v>
      </c>
      <c r="L24" s="453"/>
    </row>
    <row r="25" spans="2:16" ht="36" customHeight="1" x14ac:dyDescent="0.35">
      <c r="C25" s="1049"/>
      <c r="D25" s="1062"/>
      <c r="E25" s="1049"/>
      <c r="F25" s="447" t="s">
        <v>99</v>
      </c>
      <c r="G25" s="448"/>
      <c r="H25" s="445" t="str">
        <f>H24</f>
        <v>11.5 EER
16 IEER</v>
      </c>
      <c r="I25" s="447" t="s">
        <v>501</v>
      </c>
      <c r="J25" s="533">
        <v>0.55000000000000004</v>
      </c>
      <c r="K25" s="451"/>
      <c r="L25" s="451"/>
    </row>
    <row r="26" spans="2:16" s="454" customFormat="1" ht="56.25" customHeight="1" x14ac:dyDescent="0.35">
      <c r="C26" s="1049" t="s">
        <v>175</v>
      </c>
      <c r="D26" s="1060"/>
      <c r="E26" s="1049" t="s">
        <v>25</v>
      </c>
      <c r="F26" s="447" t="s">
        <v>11</v>
      </c>
      <c r="G26" s="455"/>
      <c r="H26" s="445" t="s">
        <v>109</v>
      </c>
      <c r="I26" s="445" t="s">
        <v>504</v>
      </c>
      <c r="J26" s="533">
        <v>0.55000000000000004</v>
      </c>
    </row>
    <row r="27" spans="2:16" s="10" customFormat="1" ht="56.25" customHeight="1" x14ac:dyDescent="0.3">
      <c r="B27" s="451"/>
      <c r="C27" s="1049"/>
      <c r="D27" s="1062"/>
      <c r="E27" s="1049"/>
      <c r="F27" s="447" t="s">
        <v>99</v>
      </c>
      <c r="G27" s="455"/>
      <c r="H27" s="445" t="s">
        <v>109</v>
      </c>
      <c r="I27" s="445" t="s">
        <v>505</v>
      </c>
      <c r="J27" s="533">
        <v>0.55000000000000004</v>
      </c>
    </row>
    <row r="28" spans="2:16" s="10" customFormat="1" ht="25.5" customHeight="1" x14ac:dyDescent="0.3">
      <c r="B28" s="451"/>
      <c r="C28" s="444" t="s">
        <v>2349</v>
      </c>
      <c r="D28" s="456"/>
      <c r="E28" s="456"/>
      <c r="F28" s="456"/>
      <c r="G28" s="456"/>
      <c r="H28" s="456"/>
      <c r="I28" s="456"/>
      <c r="J28" s="456"/>
    </row>
    <row r="29" spans="2:16" s="10" customFormat="1" ht="25.5" customHeight="1" x14ac:dyDescent="0.3">
      <c r="B29" s="451"/>
      <c r="C29" s="457"/>
      <c r="D29" s="457"/>
      <c r="E29" s="458"/>
      <c r="F29" s="458"/>
      <c r="G29" s="458"/>
      <c r="H29" s="458"/>
      <c r="I29" s="458"/>
      <c r="J29" s="458"/>
    </row>
    <row r="30" spans="2:16" s="440" customFormat="1" ht="53.25" customHeight="1" x14ac:dyDescent="0.4">
      <c r="C30" s="1050" t="s">
        <v>108</v>
      </c>
      <c r="D30" s="1051"/>
      <c r="E30" s="1051"/>
      <c r="F30" s="1052"/>
      <c r="G30" s="808"/>
      <c r="H30" s="1050" t="s">
        <v>1374</v>
      </c>
      <c r="I30" s="1051"/>
      <c r="J30" s="1051"/>
      <c r="K30" s="555"/>
    </row>
    <row r="31" spans="2:16" s="10" customFormat="1" ht="43.4" customHeight="1" x14ac:dyDescent="0.3">
      <c r="C31" s="442" t="s">
        <v>9</v>
      </c>
      <c r="D31" s="442" t="s">
        <v>1373</v>
      </c>
      <c r="E31" s="443" t="s">
        <v>24</v>
      </c>
      <c r="F31" s="443" t="s">
        <v>10</v>
      </c>
      <c r="G31" s="460"/>
      <c r="H31" s="442" t="s">
        <v>171</v>
      </c>
      <c r="I31" s="442" t="s">
        <v>328</v>
      </c>
      <c r="J31" s="442" t="s">
        <v>1370</v>
      </c>
    </row>
    <row r="32" spans="2:16" s="10" customFormat="1" ht="41.25" customHeight="1" x14ac:dyDescent="0.3">
      <c r="C32" s="1060" t="s">
        <v>942</v>
      </c>
      <c r="D32" s="528"/>
      <c r="E32" s="449" t="s">
        <v>930</v>
      </c>
      <c r="F32" s="445" t="s">
        <v>172</v>
      </c>
      <c r="G32" s="461"/>
      <c r="H32" s="445" t="s">
        <v>943</v>
      </c>
      <c r="I32" s="445" t="s">
        <v>944</v>
      </c>
      <c r="J32" s="533">
        <v>2</v>
      </c>
    </row>
    <row r="33" spans="3:10" s="10" customFormat="1" ht="41.25" customHeight="1" x14ac:dyDescent="0.3">
      <c r="C33" s="1061"/>
      <c r="D33" s="528"/>
      <c r="E33" s="450" t="s">
        <v>945</v>
      </c>
      <c r="F33" s="445" t="s">
        <v>172</v>
      </c>
      <c r="G33" s="461"/>
      <c r="H33" s="445" t="s">
        <v>946</v>
      </c>
      <c r="I33" s="445" t="s">
        <v>947</v>
      </c>
      <c r="J33" s="533">
        <v>2</v>
      </c>
    </row>
    <row r="34" spans="3:10" s="10" customFormat="1" ht="41.25" customHeight="1" x14ac:dyDescent="0.3">
      <c r="C34" s="1062"/>
      <c r="D34" s="450"/>
      <c r="E34" s="449" t="s">
        <v>948</v>
      </c>
      <c r="F34" s="445" t="s">
        <v>172</v>
      </c>
      <c r="G34" s="461"/>
      <c r="H34" s="445" t="s">
        <v>949</v>
      </c>
      <c r="I34" s="445" t="s">
        <v>950</v>
      </c>
      <c r="J34" s="533">
        <v>2</v>
      </c>
    </row>
    <row r="35" spans="3:10" s="10" customFormat="1" ht="152.25" customHeight="1" x14ac:dyDescent="0.3">
      <c r="C35" s="445" t="s">
        <v>563</v>
      </c>
      <c r="D35" s="445"/>
      <c r="E35" s="445" t="s">
        <v>90</v>
      </c>
      <c r="F35" s="447" t="s">
        <v>172</v>
      </c>
      <c r="G35" s="448"/>
      <c r="H35" s="445" t="s">
        <v>951</v>
      </c>
      <c r="I35" s="445" t="s">
        <v>413</v>
      </c>
      <c r="J35" s="533">
        <v>2</v>
      </c>
    </row>
    <row r="36" spans="3:10" s="10" customFormat="1" ht="50.15" customHeight="1" x14ac:dyDescent="0.3">
      <c r="C36" s="1049" t="s">
        <v>95</v>
      </c>
      <c r="D36" s="1060"/>
      <c r="E36" s="1049" t="s">
        <v>90</v>
      </c>
      <c r="F36" s="447" t="s">
        <v>11</v>
      </c>
      <c r="G36" s="463"/>
      <c r="H36" s="462" t="s">
        <v>951</v>
      </c>
      <c r="I36" s="445" t="s">
        <v>517</v>
      </c>
      <c r="J36" s="533">
        <v>2</v>
      </c>
    </row>
    <row r="37" spans="3:10" s="10" customFormat="1" ht="49" customHeight="1" x14ac:dyDescent="0.3">
      <c r="C37" s="1049"/>
      <c r="D37" s="1061"/>
      <c r="E37" s="1048"/>
      <c r="F37" s="447" t="s">
        <v>99</v>
      </c>
      <c r="G37" s="463"/>
      <c r="H37" s="462" t="s">
        <v>952</v>
      </c>
      <c r="I37" s="445" t="s">
        <v>518</v>
      </c>
      <c r="J37" s="533">
        <v>2</v>
      </c>
    </row>
    <row r="38" spans="3:10" s="10" customFormat="1" ht="49" customHeight="1" x14ac:dyDescent="0.3">
      <c r="C38" s="1049"/>
      <c r="D38" s="1061"/>
      <c r="E38" s="1049" t="s">
        <v>539</v>
      </c>
      <c r="F38" s="447" t="s">
        <v>11</v>
      </c>
      <c r="G38" s="463"/>
      <c r="H38" s="462" t="s">
        <v>2338</v>
      </c>
      <c r="I38" s="445" t="s">
        <v>519</v>
      </c>
      <c r="J38" s="533">
        <v>2</v>
      </c>
    </row>
    <row r="39" spans="3:10" s="10" customFormat="1" ht="49" customHeight="1" x14ac:dyDescent="0.3">
      <c r="C39" s="1049"/>
      <c r="D39" s="1061"/>
      <c r="E39" s="1049"/>
      <c r="F39" s="447" t="s">
        <v>99</v>
      </c>
      <c r="G39" s="463"/>
      <c r="H39" s="462" t="s">
        <v>2338</v>
      </c>
      <c r="I39" s="445" t="s">
        <v>520</v>
      </c>
      <c r="J39" s="533">
        <v>2</v>
      </c>
    </row>
    <row r="40" spans="3:10" s="10" customFormat="1" ht="49" customHeight="1" x14ac:dyDescent="0.3">
      <c r="C40" s="1049"/>
      <c r="D40" s="1061"/>
      <c r="E40" s="1049" t="s">
        <v>93</v>
      </c>
      <c r="F40" s="447" t="s">
        <v>11</v>
      </c>
      <c r="G40" s="463"/>
      <c r="H40" s="462" t="s">
        <v>2339</v>
      </c>
      <c r="I40" s="445" t="s">
        <v>521</v>
      </c>
      <c r="J40" s="533">
        <v>2</v>
      </c>
    </row>
    <row r="41" spans="3:10" s="10" customFormat="1" ht="49" customHeight="1" x14ac:dyDescent="0.3">
      <c r="C41" s="1049"/>
      <c r="D41" s="1061"/>
      <c r="E41" s="1049"/>
      <c r="F41" s="447" t="s">
        <v>99</v>
      </c>
      <c r="G41" s="463"/>
      <c r="H41" s="462" t="s">
        <v>2339</v>
      </c>
      <c r="I41" s="445" t="s">
        <v>522</v>
      </c>
      <c r="J41" s="533">
        <v>2</v>
      </c>
    </row>
    <row r="42" spans="3:10" s="10" customFormat="1" ht="49" customHeight="1" x14ac:dyDescent="0.3">
      <c r="C42" s="1049"/>
      <c r="D42" s="1061"/>
      <c r="E42" s="1049" t="s">
        <v>94</v>
      </c>
      <c r="F42" s="447" t="s">
        <v>11</v>
      </c>
      <c r="G42" s="463"/>
      <c r="H42" s="462" t="s">
        <v>2340</v>
      </c>
      <c r="I42" s="445" t="s">
        <v>523</v>
      </c>
      <c r="J42" s="533">
        <v>2</v>
      </c>
    </row>
    <row r="43" spans="3:10" s="10" customFormat="1" ht="49" customHeight="1" x14ac:dyDescent="0.3">
      <c r="C43" s="1049"/>
      <c r="D43" s="1062"/>
      <c r="E43" s="1049"/>
      <c r="F43" s="447" t="s">
        <v>99</v>
      </c>
      <c r="G43" s="463"/>
      <c r="H43" s="462" t="s">
        <v>2340</v>
      </c>
      <c r="I43" s="445" t="s">
        <v>524</v>
      </c>
      <c r="J43" s="533">
        <v>2</v>
      </c>
    </row>
    <row r="44" spans="3:10" s="10" customFormat="1" ht="152.25" customHeight="1" x14ac:dyDescent="0.3">
      <c r="C44" s="445" t="s">
        <v>1553</v>
      </c>
      <c r="D44" s="450"/>
      <c r="E44" s="445" t="s">
        <v>25</v>
      </c>
      <c r="F44" s="447" t="s">
        <v>30</v>
      </c>
      <c r="G44" s="463"/>
      <c r="H44" s="445" t="s">
        <v>1605</v>
      </c>
      <c r="I44" s="445" t="s">
        <v>1604</v>
      </c>
      <c r="J44" s="533">
        <v>2</v>
      </c>
    </row>
    <row r="45" spans="3:10" s="10" customFormat="1" ht="123" customHeight="1" x14ac:dyDescent="0.3">
      <c r="C45" s="445" t="s">
        <v>1554</v>
      </c>
      <c r="D45" s="450"/>
      <c r="E45" s="445" t="s">
        <v>25</v>
      </c>
      <c r="F45" s="447" t="s">
        <v>30</v>
      </c>
      <c r="G45" s="463"/>
      <c r="H45" s="445" t="s">
        <v>1606</v>
      </c>
      <c r="I45" s="445" t="s">
        <v>1607</v>
      </c>
      <c r="J45" s="533">
        <v>2</v>
      </c>
    </row>
    <row r="46" spans="3:10" s="10" customFormat="1" ht="28" hidden="1" x14ac:dyDescent="0.3">
      <c r="C46" s="445" t="s">
        <v>97</v>
      </c>
      <c r="D46" s="445"/>
      <c r="E46" s="445" t="s">
        <v>96</v>
      </c>
      <c r="F46" s="447" t="s">
        <v>30</v>
      </c>
      <c r="G46" s="463"/>
      <c r="H46" s="462" t="s">
        <v>102</v>
      </c>
      <c r="I46" s="445" t="s">
        <v>422</v>
      </c>
      <c r="J46" s="533">
        <v>0.55000000000000004</v>
      </c>
    </row>
    <row r="47" spans="3:10" s="10" customFormat="1" ht="14" x14ac:dyDescent="0.3">
      <c r="C47" s="444" t="s">
        <v>2353</v>
      </c>
      <c r="D47" s="655"/>
      <c r="E47" s="655"/>
      <c r="F47" s="992"/>
      <c r="G47" s="461"/>
      <c r="H47" s="993"/>
      <c r="I47" s="655"/>
      <c r="J47" s="994"/>
    </row>
    <row r="48" spans="3:10" s="10" customFormat="1" ht="18" customHeight="1" x14ac:dyDescent="0.3">
      <c r="C48" s="444" t="s">
        <v>2349</v>
      </c>
      <c r="D48" s="456"/>
      <c r="E48" s="456"/>
      <c r="F48" s="456"/>
      <c r="G48" s="456"/>
      <c r="H48" s="456"/>
      <c r="I48" s="456"/>
      <c r="J48" s="456"/>
    </row>
    <row r="49" spans="3:12" s="10" customFormat="1" ht="18" customHeight="1" x14ac:dyDescent="0.3">
      <c r="C49" s="657" t="s">
        <v>2350</v>
      </c>
      <c r="D49" s="456"/>
      <c r="E49" s="456"/>
      <c r="F49" s="456"/>
      <c r="G49" s="456"/>
      <c r="H49" s="456"/>
      <c r="I49" s="456"/>
      <c r="J49" s="456"/>
    </row>
    <row r="50" spans="3:12" s="10" customFormat="1" ht="28.5" hidden="1" customHeight="1" x14ac:dyDescent="0.3">
      <c r="D50" s="454"/>
      <c r="E50" s="451"/>
      <c r="F50" s="451"/>
      <c r="G50" s="451"/>
      <c r="H50" s="451"/>
      <c r="I50" s="451"/>
      <c r="J50" s="451"/>
    </row>
    <row r="51" spans="3:12" s="464" customFormat="1" ht="53.15" hidden="1" customHeight="1" x14ac:dyDescent="0.3">
      <c r="C51" s="1057" t="s">
        <v>868</v>
      </c>
      <c r="D51" s="1058"/>
      <c r="E51" s="1058"/>
      <c r="F51" s="1059"/>
      <c r="G51" s="459"/>
      <c r="H51" s="1057" t="s">
        <v>1374</v>
      </c>
      <c r="I51" s="1058"/>
      <c r="J51" s="1058"/>
      <c r="K51" s="554"/>
    </row>
    <row r="52" spans="3:12" s="464" customFormat="1" ht="53.15" hidden="1" customHeight="1" x14ac:dyDescent="0.3">
      <c r="C52" s="442" t="s">
        <v>9</v>
      </c>
      <c r="D52" s="442" t="s">
        <v>1372</v>
      </c>
      <c r="E52" s="443" t="s">
        <v>24</v>
      </c>
      <c r="F52" s="443" t="s">
        <v>10</v>
      </c>
      <c r="G52" s="460"/>
      <c r="H52" s="442" t="s">
        <v>171</v>
      </c>
      <c r="I52" s="442" t="s">
        <v>328</v>
      </c>
      <c r="J52" s="442" t="s">
        <v>1370</v>
      </c>
    </row>
    <row r="53" spans="3:12" ht="25" hidden="1" customHeight="1" x14ac:dyDescent="0.3">
      <c r="C53" s="1060" t="s">
        <v>875</v>
      </c>
      <c r="D53" s="527"/>
      <c r="E53" s="1060" t="s">
        <v>90</v>
      </c>
      <c r="F53" s="1066" t="s">
        <v>867</v>
      </c>
      <c r="G53" s="448"/>
      <c r="H53" s="1060" t="s">
        <v>951</v>
      </c>
      <c r="I53" s="1077" t="s">
        <v>888</v>
      </c>
      <c r="J53" s="1079">
        <v>0.55000000000000004</v>
      </c>
      <c r="L53" s="451"/>
    </row>
    <row r="54" spans="3:12" ht="25" hidden="1" customHeight="1" x14ac:dyDescent="0.35">
      <c r="C54" s="1061"/>
      <c r="D54" s="528"/>
      <c r="E54" s="1062"/>
      <c r="F54" s="1068"/>
      <c r="G54" s="448"/>
      <c r="H54" s="1062"/>
      <c r="I54" s="1078"/>
      <c r="J54" s="1080"/>
      <c r="K54" s="451"/>
      <c r="L54" s="451"/>
    </row>
    <row r="55" spans="3:12" ht="42" hidden="1" x14ac:dyDescent="0.35">
      <c r="C55" s="1061"/>
      <c r="D55" s="528"/>
      <c r="E55" s="465" t="s">
        <v>98</v>
      </c>
      <c r="F55" s="447" t="s">
        <v>867</v>
      </c>
      <c r="G55" s="448"/>
      <c r="H55" s="445" t="s">
        <v>1812</v>
      </c>
      <c r="I55" s="447" t="s">
        <v>890</v>
      </c>
      <c r="J55" s="1079">
        <v>0.55000000000000004</v>
      </c>
      <c r="K55" s="451"/>
      <c r="L55" s="451"/>
    </row>
    <row r="56" spans="3:12" ht="42" hidden="1" x14ac:dyDescent="0.35">
      <c r="C56" s="1061"/>
      <c r="D56" s="528"/>
      <c r="E56" s="465" t="s">
        <v>93</v>
      </c>
      <c r="F56" s="447" t="s">
        <v>867</v>
      </c>
      <c r="G56" s="448"/>
      <c r="H56" s="445" t="s">
        <v>1813</v>
      </c>
      <c r="I56" s="447" t="s">
        <v>891</v>
      </c>
      <c r="J56" s="1080"/>
      <c r="K56" s="451"/>
      <c r="L56" s="451"/>
    </row>
    <row r="57" spans="3:12" ht="42" hidden="1" x14ac:dyDescent="0.35">
      <c r="C57" s="1062"/>
      <c r="D57" s="450"/>
      <c r="E57" s="465" t="s">
        <v>866</v>
      </c>
      <c r="F57" s="447" t="s">
        <v>867</v>
      </c>
      <c r="G57" s="448"/>
      <c r="H57" s="445" t="s">
        <v>1814</v>
      </c>
      <c r="I57" s="447" t="s">
        <v>892</v>
      </c>
      <c r="J57" s="1079">
        <v>0.55000000000000004</v>
      </c>
      <c r="K57" s="451"/>
      <c r="L57" s="451"/>
    </row>
    <row r="58" spans="3:12" ht="39" hidden="1" customHeight="1" x14ac:dyDescent="0.3">
      <c r="C58" s="466" t="s">
        <v>876</v>
      </c>
      <c r="D58" s="466"/>
      <c r="E58" s="465" t="s">
        <v>96</v>
      </c>
      <c r="F58" s="445" t="s">
        <v>872</v>
      </c>
      <c r="H58" s="445" t="s">
        <v>102</v>
      </c>
      <c r="I58" s="447" t="s">
        <v>893</v>
      </c>
      <c r="J58" s="1080"/>
    </row>
    <row r="59" spans="3:12" ht="15" hidden="1" customHeight="1" x14ac:dyDescent="0.3">
      <c r="C59" s="466" t="s">
        <v>869</v>
      </c>
      <c r="D59" s="466"/>
      <c r="E59" s="465" t="s">
        <v>96</v>
      </c>
      <c r="F59" s="445" t="s">
        <v>870</v>
      </c>
      <c r="H59" s="445" t="s">
        <v>871</v>
      </c>
      <c r="I59" s="467"/>
      <c r="J59" s="468">
        <v>80</v>
      </c>
    </row>
    <row r="60" spans="3:12" ht="21" hidden="1" customHeight="1" x14ac:dyDescent="0.3">
      <c r="C60" s="460" t="s">
        <v>1864</v>
      </c>
      <c r="D60" s="654"/>
      <c r="E60" s="654"/>
      <c r="F60" s="655"/>
      <c r="H60" s="655"/>
      <c r="J60" s="656"/>
    </row>
    <row r="61" spans="3:12" ht="21" hidden="1" customHeight="1" x14ac:dyDescent="0.3">
      <c r="C61" s="460" t="s">
        <v>1873</v>
      </c>
      <c r="D61" s="654"/>
      <c r="E61" s="654"/>
      <c r="F61" s="655"/>
      <c r="H61" s="655"/>
      <c r="J61" s="656"/>
    </row>
    <row r="62" spans="3:12" ht="15" hidden="1" customHeight="1" x14ac:dyDescent="0.3"/>
    <row r="63" spans="3:12" ht="42.75" hidden="1" customHeight="1" x14ac:dyDescent="0.35">
      <c r="C63" s="1057" t="s">
        <v>1719</v>
      </c>
      <c r="D63" s="1058"/>
      <c r="E63" s="1058"/>
      <c r="F63" s="1059"/>
      <c r="G63" s="459"/>
      <c r="H63" s="1057" t="s">
        <v>1591</v>
      </c>
      <c r="I63" s="1058"/>
      <c r="J63" s="1058"/>
      <c r="K63" s="1058"/>
      <c r="L63" s="1059"/>
    </row>
    <row r="64" spans="3:12" ht="35.25" hidden="1" customHeight="1" x14ac:dyDescent="0.3">
      <c r="C64" s="442" t="s">
        <v>9</v>
      </c>
      <c r="D64" s="442" t="s">
        <v>1830</v>
      </c>
      <c r="E64" s="443" t="s">
        <v>24</v>
      </c>
      <c r="F64" s="443" t="s">
        <v>1587</v>
      </c>
      <c r="G64" s="460"/>
      <c r="H64" s="659" t="s">
        <v>171</v>
      </c>
      <c r="I64" s="659" t="s">
        <v>328</v>
      </c>
      <c r="J64" s="659" t="s">
        <v>1555</v>
      </c>
      <c r="K64" s="1069" t="s">
        <v>1556</v>
      </c>
      <c r="L64" s="1070"/>
    </row>
    <row r="65" spans="3:12" ht="88.5" hidden="1" customHeight="1" x14ac:dyDescent="0.35">
      <c r="C65" s="1060" t="s">
        <v>1553</v>
      </c>
      <c r="D65" s="1063" t="s">
        <v>1943</v>
      </c>
      <c r="E65" s="1066" t="s">
        <v>25</v>
      </c>
      <c r="F65" s="759" t="s">
        <v>1588</v>
      </c>
      <c r="G65" s="461"/>
      <c r="H65" s="445" t="s">
        <v>1590</v>
      </c>
      <c r="I65" s="445" t="s">
        <v>1594</v>
      </c>
      <c r="J65" s="562">
        <v>1000</v>
      </c>
      <c r="K65" s="1055">
        <v>500</v>
      </c>
      <c r="L65" s="1056"/>
    </row>
    <row r="66" spans="3:12" ht="88.5" hidden="1" customHeight="1" x14ac:dyDescent="0.35">
      <c r="C66" s="1061"/>
      <c r="D66" s="1064"/>
      <c r="E66" s="1067"/>
      <c r="F66" s="445" t="s">
        <v>2188</v>
      </c>
      <c r="G66" s="461"/>
      <c r="H66" s="445" t="s">
        <v>1590</v>
      </c>
      <c r="I66" s="445" t="s">
        <v>1595</v>
      </c>
      <c r="J66" s="562">
        <v>2500</v>
      </c>
      <c r="K66" s="1055">
        <v>500</v>
      </c>
      <c r="L66" s="1056"/>
    </row>
    <row r="67" spans="3:12" ht="62.5" hidden="1" customHeight="1" x14ac:dyDescent="0.35">
      <c r="C67" s="1062"/>
      <c r="D67" s="1065"/>
      <c r="E67" s="1068"/>
      <c r="F67" s="445" t="s">
        <v>1589</v>
      </c>
      <c r="G67" s="461"/>
      <c r="H67" s="445" t="s">
        <v>1590</v>
      </c>
      <c r="I67" s="445" t="s">
        <v>1596</v>
      </c>
      <c r="J67" s="562">
        <v>600</v>
      </c>
      <c r="K67" s="1055">
        <v>500</v>
      </c>
      <c r="L67" s="1056"/>
    </row>
    <row r="68" spans="3:12" ht="88.5" hidden="1" customHeight="1" x14ac:dyDescent="0.35">
      <c r="C68" s="1060" t="s">
        <v>1894</v>
      </c>
      <c r="D68" s="1063" t="s">
        <v>1944</v>
      </c>
      <c r="E68" s="1066" t="s">
        <v>25</v>
      </c>
      <c r="F68" s="445" t="s">
        <v>1588</v>
      </c>
      <c r="G68" s="461"/>
      <c r="H68" s="445" t="s">
        <v>1590</v>
      </c>
      <c r="I68" s="445" t="s">
        <v>1895</v>
      </c>
      <c r="J68" s="562">
        <v>1000</v>
      </c>
      <c r="K68" s="664"/>
      <c r="L68" s="665"/>
    </row>
    <row r="69" spans="3:12" ht="88.5" hidden="1" customHeight="1" x14ac:dyDescent="0.35">
      <c r="C69" s="1061"/>
      <c r="D69" s="1064"/>
      <c r="E69" s="1067"/>
      <c r="F69" s="445" t="s">
        <v>2188</v>
      </c>
      <c r="G69" s="461"/>
      <c r="H69" s="445" t="s">
        <v>1590</v>
      </c>
      <c r="I69" s="445" t="s">
        <v>1896</v>
      </c>
      <c r="J69" s="562">
        <v>2500</v>
      </c>
      <c r="K69" s="664"/>
      <c r="L69" s="665"/>
    </row>
    <row r="70" spans="3:12" ht="62.5" hidden="1" customHeight="1" x14ac:dyDescent="0.35">
      <c r="C70" s="1062"/>
      <c r="D70" s="1065"/>
      <c r="E70" s="1068"/>
      <c r="F70" s="445" t="s">
        <v>1589</v>
      </c>
      <c r="G70" s="461"/>
      <c r="H70" s="445" t="s">
        <v>1590</v>
      </c>
      <c r="I70" s="445" t="s">
        <v>1897</v>
      </c>
      <c r="J70" s="562">
        <v>600</v>
      </c>
      <c r="K70" s="664"/>
      <c r="L70" s="665"/>
    </row>
    <row r="71" spans="3:12" ht="71.150000000000006" hidden="1" customHeight="1" x14ac:dyDescent="0.35">
      <c r="C71" s="1060" t="s">
        <v>1554</v>
      </c>
      <c r="D71" s="1063" t="s">
        <v>1945</v>
      </c>
      <c r="E71" s="1060" t="s">
        <v>25</v>
      </c>
      <c r="F71" s="445" t="s">
        <v>1588</v>
      </c>
      <c r="G71" s="461"/>
      <c r="H71" s="445" t="s">
        <v>1593</v>
      </c>
      <c r="I71" s="445" t="s">
        <v>1597</v>
      </c>
      <c r="J71" s="562">
        <v>1000</v>
      </c>
      <c r="K71" s="1055">
        <v>500</v>
      </c>
      <c r="L71" s="1056"/>
    </row>
    <row r="72" spans="3:12" ht="71.150000000000006" hidden="1" customHeight="1" x14ac:dyDescent="0.35">
      <c r="C72" s="1061"/>
      <c r="D72" s="1064"/>
      <c r="E72" s="1061"/>
      <c r="F72" s="445" t="s">
        <v>2188</v>
      </c>
      <c r="G72" s="461"/>
      <c r="H72" s="445" t="s">
        <v>1593</v>
      </c>
      <c r="I72" s="445" t="s">
        <v>1598</v>
      </c>
      <c r="J72" s="562">
        <v>25000</v>
      </c>
      <c r="K72" s="1055">
        <v>500</v>
      </c>
      <c r="L72" s="1056"/>
    </row>
    <row r="73" spans="3:12" ht="58" hidden="1" customHeight="1" x14ac:dyDescent="0.35">
      <c r="C73" s="1062"/>
      <c r="D73" s="1065"/>
      <c r="E73" s="1062"/>
      <c r="F73" s="445" t="s">
        <v>1589</v>
      </c>
      <c r="G73" s="461"/>
      <c r="H73" s="445" t="s">
        <v>1593</v>
      </c>
      <c r="I73" s="445" t="s">
        <v>1599</v>
      </c>
      <c r="J73" s="562">
        <v>600</v>
      </c>
      <c r="K73" s="1055">
        <v>500</v>
      </c>
      <c r="L73" s="1056"/>
    </row>
    <row r="74" spans="3:12" ht="97.5" hidden="1" customHeight="1" x14ac:dyDescent="0.35">
      <c r="C74" s="445" t="s">
        <v>1818</v>
      </c>
      <c r="D74" s="671" t="s">
        <v>1878</v>
      </c>
      <c r="E74" s="445" t="s">
        <v>30</v>
      </c>
      <c r="F74" s="445" t="s">
        <v>30</v>
      </c>
      <c r="G74" s="446"/>
      <c r="H74" s="447" t="s">
        <v>30</v>
      </c>
      <c r="I74" s="445" t="s">
        <v>1875</v>
      </c>
      <c r="J74" s="562" t="s">
        <v>1720</v>
      </c>
      <c r="K74" s="1055">
        <v>0</v>
      </c>
      <c r="L74" s="1056"/>
    </row>
    <row r="75" spans="3:12" ht="118" hidden="1" customHeight="1" x14ac:dyDescent="0.35">
      <c r="C75" s="445" t="s">
        <v>1874</v>
      </c>
      <c r="D75" s="671" t="s">
        <v>1879</v>
      </c>
      <c r="E75" s="450" t="s">
        <v>30</v>
      </c>
      <c r="F75" s="445" t="s">
        <v>30</v>
      </c>
      <c r="G75" s="446"/>
      <c r="H75" s="447" t="s">
        <v>30</v>
      </c>
      <c r="I75" s="445" t="s">
        <v>1876</v>
      </c>
      <c r="J75" s="562" t="s">
        <v>1720</v>
      </c>
      <c r="K75" s="661"/>
      <c r="L75" s="654"/>
    </row>
    <row r="76" spans="3:12" ht="101.15" hidden="1" customHeight="1" x14ac:dyDescent="0.35">
      <c r="C76" s="445" t="s">
        <v>1408</v>
      </c>
      <c r="D76" s="671" t="s">
        <v>1880</v>
      </c>
      <c r="E76" s="450" t="s">
        <v>30</v>
      </c>
      <c r="F76" s="445" t="s">
        <v>30</v>
      </c>
      <c r="G76" s="446"/>
      <c r="H76" s="447" t="s">
        <v>30</v>
      </c>
      <c r="I76" s="445" t="s">
        <v>1877</v>
      </c>
      <c r="J76" s="562" t="s">
        <v>1720</v>
      </c>
      <c r="K76" s="661"/>
      <c r="L76" s="654"/>
    </row>
    <row r="77" spans="3:12" ht="18" hidden="1" customHeight="1" x14ac:dyDescent="0.3">
      <c r="C77" s="657" t="s">
        <v>1621</v>
      </c>
    </row>
    <row r="78" spans="3:12" ht="18" customHeight="1" x14ac:dyDescent="0.3">
      <c r="C78" s="657"/>
    </row>
    <row r="79" spans="3:12" ht="37.5" customHeight="1" x14ac:dyDescent="0.35">
      <c r="C79" s="1054" t="s">
        <v>1976</v>
      </c>
      <c r="D79" s="1054"/>
      <c r="E79" s="1054"/>
      <c r="F79" s="1054"/>
      <c r="G79" s="773"/>
      <c r="H79" s="1050" t="s">
        <v>1374</v>
      </c>
      <c r="I79" s="1051"/>
      <c r="J79" s="1052"/>
      <c r="K79" s="775"/>
      <c r="L79" s="776"/>
    </row>
    <row r="80" spans="3:12" ht="34.5" customHeight="1" x14ac:dyDescent="0.3">
      <c r="C80" s="442" t="s">
        <v>9</v>
      </c>
      <c r="D80" s="442" t="s">
        <v>1830</v>
      </c>
      <c r="E80" s="443" t="s">
        <v>24</v>
      </c>
      <c r="F80" s="443" t="s">
        <v>1587</v>
      </c>
      <c r="G80" s="774"/>
      <c r="H80" s="442" t="s">
        <v>171</v>
      </c>
      <c r="I80" s="442" t="s">
        <v>328</v>
      </c>
      <c r="J80" s="442" t="s">
        <v>38</v>
      </c>
      <c r="K80" s="777"/>
      <c r="L80" s="778"/>
    </row>
    <row r="81" spans="3:12" ht="50.15" customHeight="1" x14ac:dyDescent="0.3">
      <c r="C81" s="1049" t="s">
        <v>1977</v>
      </c>
      <c r="D81" s="701" t="s">
        <v>2105</v>
      </c>
      <c r="E81" s="1048" t="s">
        <v>25</v>
      </c>
      <c r="F81" s="1049" t="s">
        <v>1978</v>
      </c>
      <c r="G81" s="773"/>
      <c r="H81" s="1048" t="s">
        <v>30</v>
      </c>
      <c r="I81" s="1048" t="s">
        <v>2138</v>
      </c>
      <c r="J81" s="1048" t="s">
        <v>1979</v>
      </c>
      <c r="K81" s="777"/>
      <c r="L81" s="778"/>
    </row>
    <row r="82" spans="3:12" ht="76" customHeight="1" x14ac:dyDescent="0.3">
      <c r="C82" s="1049"/>
      <c r="D82" s="1053"/>
      <c r="E82" s="1048"/>
      <c r="F82" s="1049"/>
      <c r="G82" s="773"/>
      <c r="H82" s="1048"/>
      <c r="I82" s="1048"/>
      <c r="J82" s="1048"/>
      <c r="K82" s="777"/>
      <c r="L82" s="778"/>
    </row>
    <row r="83" spans="3:12" ht="18" customHeight="1" x14ac:dyDescent="0.3">
      <c r="C83" s="1049"/>
      <c r="D83" s="1053"/>
      <c r="E83" s="1048"/>
      <c r="F83" s="1049"/>
      <c r="G83" s="773"/>
      <c r="H83" s="1048"/>
      <c r="I83" s="1048"/>
      <c r="J83" s="1048"/>
      <c r="K83" s="777"/>
      <c r="L83" s="778"/>
    </row>
    <row r="84" spans="3:12" ht="18" customHeight="1" x14ac:dyDescent="0.3">
      <c r="C84" s="1049"/>
      <c r="D84" s="1053"/>
      <c r="E84" s="1048"/>
      <c r="F84" s="1049"/>
      <c r="G84" s="773"/>
      <c r="H84" s="1048"/>
      <c r="I84" s="1048"/>
      <c r="J84" s="1048"/>
      <c r="K84" s="777"/>
      <c r="L84" s="778"/>
    </row>
    <row r="85" spans="3:12" ht="18" customHeight="1" x14ac:dyDescent="0.3">
      <c r="C85" s="1049"/>
      <c r="D85" s="1053"/>
      <c r="E85" s="1048"/>
      <c r="F85" s="1049"/>
      <c r="G85" s="773"/>
      <c r="H85" s="1048"/>
      <c r="I85" s="1048"/>
      <c r="J85" s="1048"/>
      <c r="K85" s="777"/>
      <c r="L85" s="778"/>
    </row>
    <row r="86" spans="3:12" ht="18" customHeight="1" x14ac:dyDescent="0.3">
      <c r="C86" s="1049"/>
      <c r="D86" s="1053"/>
      <c r="E86" s="1048"/>
      <c r="F86" s="1049"/>
      <c r="G86" s="773"/>
      <c r="H86" s="1048"/>
      <c r="I86" s="1048"/>
      <c r="J86" s="1048"/>
      <c r="K86" s="777"/>
      <c r="L86" s="778"/>
    </row>
    <row r="87" spans="3:12" ht="37" customHeight="1" x14ac:dyDescent="0.3">
      <c r="C87" s="1049" t="s">
        <v>2006</v>
      </c>
      <c r="D87" s="701" t="s">
        <v>2104</v>
      </c>
      <c r="E87" s="1048" t="s">
        <v>25</v>
      </c>
      <c r="F87" s="1049" t="s">
        <v>1978</v>
      </c>
      <c r="G87" s="773"/>
      <c r="H87" s="1048" t="s">
        <v>30</v>
      </c>
      <c r="I87" s="1048" t="s">
        <v>2139</v>
      </c>
      <c r="J87" s="1048" t="s">
        <v>1980</v>
      </c>
      <c r="K87" s="777"/>
      <c r="L87" s="778"/>
    </row>
    <row r="88" spans="3:12" ht="18" customHeight="1" x14ac:dyDescent="0.3">
      <c r="C88" s="1049"/>
      <c r="D88" s="1053"/>
      <c r="E88" s="1048"/>
      <c r="F88" s="1049"/>
      <c r="G88" s="773"/>
      <c r="H88" s="1048"/>
      <c r="I88" s="1048"/>
      <c r="J88" s="1048"/>
      <c r="K88" s="777"/>
      <c r="L88" s="778"/>
    </row>
    <row r="89" spans="3:12" ht="18" customHeight="1" x14ac:dyDescent="0.3">
      <c r="C89" s="1049"/>
      <c r="D89" s="1053"/>
      <c r="E89" s="1048"/>
      <c r="F89" s="1049"/>
      <c r="G89" s="773"/>
      <c r="H89" s="1048"/>
      <c r="I89" s="1048"/>
      <c r="J89" s="1048"/>
      <c r="K89" s="777"/>
      <c r="L89" s="778"/>
    </row>
    <row r="90" spans="3:12" ht="18" customHeight="1" x14ac:dyDescent="0.3">
      <c r="C90" s="1049"/>
      <c r="D90" s="1053"/>
      <c r="E90" s="1048"/>
      <c r="F90" s="1049"/>
      <c r="G90" s="773"/>
      <c r="H90" s="1048"/>
      <c r="I90" s="1048"/>
      <c r="J90" s="1048"/>
      <c r="K90" s="777"/>
      <c r="L90" s="778"/>
    </row>
    <row r="91" spans="3:12" ht="18" customHeight="1" x14ac:dyDescent="0.3">
      <c r="C91" s="1049"/>
      <c r="D91" s="1053"/>
      <c r="E91" s="1048"/>
      <c r="F91" s="1049"/>
      <c r="G91" s="773"/>
      <c r="H91" s="1048"/>
      <c r="I91" s="1048"/>
      <c r="J91" s="1048"/>
      <c r="K91" s="777"/>
      <c r="L91" s="778"/>
    </row>
    <row r="92" spans="3:12" ht="18" customHeight="1" x14ac:dyDescent="0.3">
      <c r="C92" s="1049"/>
      <c r="D92" s="1053"/>
      <c r="E92" s="1048"/>
      <c r="F92" s="1049"/>
      <c r="G92" s="773"/>
      <c r="H92" s="1048"/>
      <c r="I92" s="1048"/>
      <c r="J92" s="1048"/>
      <c r="K92" s="777"/>
      <c r="L92" s="778"/>
    </row>
    <row r="93" spans="3:12" ht="18" customHeight="1" x14ac:dyDescent="0.3">
      <c r="C93" s="1049"/>
      <c r="D93" s="1053"/>
      <c r="E93" s="1048"/>
      <c r="F93" s="1049"/>
      <c r="G93" s="773"/>
      <c r="H93" s="1048"/>
      <c r="I93" s="1048"/>
      <c r="J93" s="1048"/>
      <c r="K93" s="777"/>
      <c r="L93" s="778"/>
    </row>
    <row r="94" spans="3:12" ht="18" customHeight="1" x14ac:dyDescent="0.3">
      <c r="C94" s="1049"/>
      <c r="D94" s="1053"/>
      <c r="E94" s="1048"/>
      <c r="F94" s="1049"/>
      <c r="G94" s="773"/>
      <c r="H94" s="1048"/>
      <c r="I94" s="1048"/>
      <c r="J94" s="1048"/>
      <c r="K94" s="777"/>
      <c r="L94" s="778"/>
    </row>
    <row r="95" spans="3:12" ht="18" customHeight="1" x14ac:dyDescent="0.3">
      <c r="C95" s="1049"/>
      <c r="D95" s="1053"/>
      <c r="E95" s="1048"/>
      <c r="F95" s="1049"/>
      <c r="G95" s="773"/>
      <c r="H95" s="1048"/>
      <c r="I95" s="1048"/>
      <c r="J95" s="1048"/>
      <c r="K95" s="777"/>
      <c r="L95" s="778"/>
    </row>
    <row r="96" spans="3:12" ht="43" customHeight="1" x14ac:dyDescent="0.3">
      <c r="C96" s="1049" t="s">
        <v>1981</v>
      </c>
      <c r="D96" s="701" t="s">
        <v>1982</v>
      </c>
      <c r="E96" s="1048" t="s">
        <v>1983</v>
      </c>
      <c r="F96" s="1048" t="s">
        <v>1984</v>
      </c>
      <c r="G96" s="773"/>
      <c r="H96" s="1048" t="s">
        <v>30</v>
      </c>
      <c r="I96" s="1048" t="s">
        <v>2140</v>
      </c>
      <c r="J96" s="1048" t="s">
        <v>2102</v>
      </c>
      <c r="K96" s="777"/>
      <c r="L96" s="778"/>
    </row>
    <row r="97" spans="3:13" ht="18" customHeight="1" x14ac:dyDescent="0.3">
      <c r="C97" s="1049"/>
      <c r="D97" s="451"/>
      <c r="E97" s="1048"/>
      <c r="F97" s="1048"/>
      <c r="G97" s="773"/>
      <c r="H97" s="1048"/>
      <c r="I97" s="1048"/>
      <c r="J97" s="1048"/>
      <c r="K97" s="777"/>
      <c r="L97" s="778"/>
    </row>
    <row r="98" spans="3:13" ht="18" customHeight="1" x14ac:dyDescent="0.3">
      <c r="C98" s="1049"/>
      <c r="D98" s="451"/>
      <c r="E98" s="1048"/>
      <c r="F98" s="1048"/>
      <c r="G98" s="773"/>
      <c r="H98" s="1048"/>
      <c r="I98" s="1048"/>
      <c r="J98" s="1048"/>
      <c r="K98" s="777"/>
      <c r="L98" s="778"/>
    </row>
    <row r="99" spans="3:13" ht="18" customHeight="1" x14ac:dyDescent="0.3">
      <c r="C99" s="1049"/>
      <c r="D99" s="451"/>
      <c r="E99" s="1048"/>
      <c r="F99" s="1048"/>
      <c r="G99" s="773"/>
      <c r="H99" s="1048"/>
      <c r="I99" s="1048"/>
      <c r="J99" s="1048"/>
      <c r="K99" s="777"/>
      <c r="L99" s="778"/>
    </row>
    <row r="100" spans="3:13" ht="18" customHeight="1" x14ac:dyDescent="0.3">
      <c r="C100" s="1049"/>
      <c r="D100" s="451"/>
      <c r="E100" s="1048"/>
      <c r="F100" s="1048"/>
      <c r="G100" s="773"/>
      <c r="H100" s="1048"/>
      <c r="I100" s="1048"/>
      <c r="J100" s="1048"/>
      <c r="K100" s="777"/>
      <c r="L100" s="778"/>
    </row>
    <row r="101" spans="3:13" ht="18" customHeight="1" x14ac:dyDescent="0.3">
      <c r="C101" s="1049"/>
      <c r="D101" s="451"/>
      <c r="E101" s="1048"/>
      <c r="F101" s="1048"/>
      <c r="G101" s="773"/>
      <c r="H101" s="1048"/>
      <c r="I101" s="1048"/>
      <c r="J101" s="1048"/>
      <c r="K101" s="777"/>
      <c r="L101" s="778"/>
    </row>
    <row r="102" spans="3:13" ht="18" customHeight="1" x14ac:dyDescent="0.3">
      <c r="C102" s="1049"/>
      <c r="D102" s="451"/>
      <c r="E102" s="1048"/>
      <c r="F102" s="1048"/>
      <c r="G102" s="773"/>
      <c r="H102" s="1048"/>
      <c r="I102" s="1048"/>
      <c r="J102" s="1048"/>
      <c r="K102" s="777"/>
      <c r="L102" s="778"/>
    </row>
    <row r="103" spans="3:13" ht="18" customHeight="1" x14ac:dyDescent="0.3">
      <c r="C103" s="1049"/>
      <c r="D103" s="451"/>
      <c r="E103" s="1048"/>
      <c r="F103" s="1048"/>
      <c r="G103" s="773"/>
      <c r="H103" s="1048"/>
      <c r="I103" s="1048"/>
      <c r="J103" s="1048"/>
      <c r="K103" s="777"/>
      <c r="L103" s="778"/>
    </row>
    <row r="104" spans="3:13" ht="18" customHeight="1" x14ac:dyDescent="0.3">
      <c r="C104" s="1049"/>
      <c r="D104" s="702"/>
      <c r="E104" s="1048"/>
      <c r="F104" s="1048"/>
      <c r="G104" s="773"/>
      <c r="H104" s="1048"/>
      <c r="I104" s="1048"/>
      <c r="J104" s="1048"/>
      <c r="K104" s="777"/>
      <c r="L104" s="778"/>
    </row>
    <row r="105" spans="3:13" ht="18" customHeight="1" x14ac:dyDescent="0.3">
      <c r="C105" s="444" t="s">
        <v>2351</v>
      </c>
      <c r="D105" s="441"/>
      <c r="E105" s="444"/>
      <c r="F105" s="446"/>
      <c r="H105" s="446"/>
      <c r="I105" s="446"/>
      <c r="J105" s="446"/>
    </row>
    <row r="106" spans="3:13" ht="18" hidden="1" customHeight="1" x14ac:dyDescent="0.3">
      <c r="C106" s="657"/>
    </row>
    <row r="107" spans="3:13" ht="18" hidden="1" customHeight="1" x14ac:dyDescent="0.3">
      <c r="C107" s="657"/>
    </row>
    <row r="108" spans="3:13" ht="18" hidden="1" customHeight="1" x14ac:dyDescent="0.3">
      <c r="C108" s="657"/>
    </row>
    <row r="109" spans="3:13" ht="18" hidden="1" customHeight="1" x14ac:dyDescent="0.3"/>
    <row r="110" spans="3:13" ht="18" customHeight="1" x14ac:dyDescent="0.3"/>
    <row r="111" spans="3:13" ht="18" customHeight="1" x14ac:dyDescent="0.3">
      <c r="C111" s="567" t="s">
        <v>894</v>
      </c>
      <c r="D111" s="568" t="str">
        <f>Development!$B$6&amp;"_"&amp;Development!$B$5</f>
        <v>1.22.2024_2.0</v>
      </c>
      <c r="E111" s="534"/>
      <c r="F111" s="557"/>
      <c r="G111" s="534"/>
      <c r="H111" s="534"/>
      <c r="I111" s="534" t="s">
        <v>1734</v>
      </c>
      <c r="J111" s="534" t="str">
        <f>Development!B6</f>
        <v>1.22.2024</v>
      </c>
      <c r="K111" s="535"/>
      <c r="L111" s="535"/>
      <c r="M111" s="534"/>
    </row>
    <row r="112" spans="3:13" ht="18" customHeight="1" x14ac:dyDescent="0.3"/>
    <row r="113" ht="18" customHeight="1" x14ac:dyDescent="0.3"/>
    <row r="114" ht="18" customHeight="1" x14ac:dyDescent="0.3"/>
    <row r="115" ht="18" customHeight="1" x14ac:dyDescent="0.3"/>
    <row r="116" ht="18" customHeight="1" x14ac:dyDescent="0.3"/>
    <row r="117" ht="18" customHeight="1" x14ac:dyDescent="0.3"/>
    <row r="118" ht="18" customHeight="1" x14ac:dyDescent="0.3"/>
    <row r="119" ht="18" customHeight="1" x14ac:dyDescent="0.3"/>
    <row r="120" ht="18" customHeight="1" x14ac:dyDescent="0.3"/>
    <row r="121" ht="18" customHeight="1" x14ac:dyDescent="0.3"/>
    <row r="122" ht="18" customHeight="1" x14ac:dyDescent="0.3"/>
    <row r="123" ht="18" customHeight="1" x14ac:dyDescent="0.3"/>
    <row r="124" ht="18" customHeight="1" x14ac:dyDescent="0.3"/>
    <row r="125" ht="18" customHeight="1" x14ac:dyDescent="0.3"/>
    <row r="126" ht="18" customHeight="1" x14ac:dyDescent="0.3"/>
    <row r="127" ht="18" customHeight="1" x14ac:dyDescent="0.3"/>
    <row r="128" ht="18" customHeight="1" x14ac:dyDescent="0.3"/>
    <row r="129" ht="18" customHeight="1" x14ac:dyDescent="0.3"/>
  </sheetData>
  <sheetProtection algorithmName="SHA-512" hashValue="b3w/Zlk63RveZBjbLXoncfSDsKnJepasXJMGbI+yc5b/44fBzV0akcVPCt/i/d7DkY04K0fwt010EG8Ea8GRVQ==" saltValue="7dLGd+vgxCW2zRbLcaa9sg==" spinCount="100000" sheet="1" objects="1" scenarios="1"/>
  <mergeCells count="75">
    <mergeCell ref="K71:L71"/>
    <mergeCell ref="C51:F51"/>
    <mergeCell ref="H51:J51"/>
    <mergeCell ref="C53:C57"/>
    <mergeCell ref="E53:E54"/>
    <mergeCell ref="F53:F54"/>
    <mergeCell ref="H53:H54"/>
    <mergeCell ref="I53:I54"/>
    <mergeCell ref="J53:J54"/>
    <mergeCell ref="J55:J56"/>
    <mergeCell ref="J57:J58"/>
    <mergeCell ref="K65:L65"/>
    <mergeCell ref="E68:E70"/>
    <mergeCell ref="H30:J30"/>
    <mergeCell ref="D26:D27"/>
    <mergeCell ref="C32:C34"/>
    <mergeCell ref="C36:C43"/>
    <mergeCell ref="E36:E37"/>
    <mergeCell ref="E38:E39"/>
    <mergeCell ref="E40:E41"/>
    <mergeCell ref="E42:E43"/>
    <mergeCell ref="D36:D43"/>
    <mergeCell ref="C26:C27"/>
    <mergeCell ref="E26:E27"/>
    <mergeCell ref="C30:F30"/>
    <mergeCell ref="B1:G1"/>
    <mergeCell ref="B2:G2"/>
    <mergeCell ref="B3:M3"/>
    <mergeCell ref="C14:C16"/>
    <mergeCell ref="C18:C25"/>
    <mergeCell ref="E18:E19"/>
    <mergeCell ref="E20:E21"/>
    <mergeCell ref="E22:E23"/>
    <mergeCell ref="E24:E25"/>
    <mergeCell ref="D18:D25"/>
    <mergeCell ref="H12:J12"/>
    <mergeCell ref="C12:F12"/>
    <mergeCell ref="K74:L74"/>
    <mergeCell ref="C63:F63"/>
    <mergeCell ref="C65:C67"/>
    <mergeCell ref="D65:D67"/>
    <mergeCell ref="E65:E67"/>
    <mergeCell ref="K66:L66"/>
    <mergeCell ref="K67:L67"/>
    <mergeCell ref="H63:L63"/>
    <mergeCell ref="C71:C73"/>
    <mergeCell ref="D71:D73"/>
    <mergeCell ref="E71:E73"/>
    <mergeCell ref="K72:L72"/>
    <mergeCell ref="K73:L73"/>
    <mergeCell ref="K64:L64"/>
    <mergeCell ref="C68:C70"/>
    <mergeCell ref="D68:D70"/>
    <mergeCell ref="I81:I86"/>
    <mergeCell ref="J81:J86"/>
    <mergeCell ref="C81:C86"/>
    <mergeCell ref="H79:J79"/>
    <mergeCell ref="J87:J95"/>
    <mergeCell ref="C87:C95"/>
    <mergeCell ref="D88:D95"/>
    <mergeCell ref="E87:E95"/>
    <mergeCell ref="F87:F95"/>
    <mergeCell ref="H87:H95"/>
    <mergeCell ref="I87:I95"/>
    <mergeCell ref="C79:F79"/>
    <mergeCell ref="D82:D86"/>
    <mergeCell ref="E81:E86"/>
    <mergeCell ref="F81:F86"/>
    <mergeCell ref="H81:H86"/>
    <mergeCell ref="J96:J104"/>
    <mergeCell ref="C96:C104"/>
    <mergeCell ref="E96:E104"/>
    <mergeCell ref="F96:F104"/>
    <mergeCell ref="H96:H104"/>
    <mergeCell ref="I96:I104"/>
  </mergeCells>
  <phoneticPr fontId="107" type="noConversion"/>
  <pageMargins left="0" right="0" top="0.25" bottom="0.2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142D42"/>
    <pageSetUpPr fitToPage="1"/>
  </sheetPr>
  <dimension ref="A1:KH43"/>
  <sheetViews>
    <sheetView showGridLines="0" zoomScale="80" zoomScaleNormal="80" workbookViewId="0"/>
  </sheetViews>
  <sheetFormatPr defaultColWidth="0" defaultRowHeight="14" x14ac:dyDescent="0.3"/>
  <cols>
    <col min="1" max="1" width="3.54296875" style="2" customWidth="1"/>
    <col min="2" max="2" width="38.81640625" style="2" bestFit="1" customWidth="1"/>
    <col min="3" max="3" width="24.7265625" style="2" customWidth="1"/>
    <col min="4" max="4" width="11.54296875" style="2" hidden="1" customWidth="1"/>
    <col min="5" max="5" width="19.453125" style="2" bestFit="1" customWidth="1"/>
    <col min="6" max="6" width="23.54296875" style="2" customWidth="1"/>
    <col min="7" max="7" width="15.453125" style="2" customWidth="1"/>
    <col min="8" max="8" width="13.54296875" style="2" bestFit="1" customWidth="1"/>
    <col min="9" max="9" width="11.54296875" style="2" customWidth="1"/>
    <col min="10" max="10" width="12.1796875" style="2" customWidth="1"/>
    <col min="11" max="13" width="8.54296875" style="2" customWidth="1"/>
    <col min="14" max="14" width="2.54296875" style="2" customWidth="1"/>
    <col min="15" max="16" width="11" style="2" customWidth="1"/>
    <col min="17" max="17" width="11.81640625" style="2" customWidth="1"/>
    <col min="18" max="18" width="17.453125" style="2" hidden="1" customWidth="1"/>
    <col min="19" max="19" width="2.54296875" style="2" customWidth="1"/>
    <col min="20" max="20" width="17.54296875" style="2" customWidth="1"/>
    <col min="21" max="21" width="15" style="2" customWidth="1"/>
    <col min="22" max="22" width="18.54296875" style="2" hidden="1" customWidth="1"/>
    <col min="23" max="23" width="13.7265625" style="2" customWidth="1"/>
    <col min="24" max="24" width="15" style="2" customWidth="1"/>
    <col min="25" max="27" width="10.54296875" style="2" customWidth="1"/>
    <col min="28" max="28" width="8.54296875" style="2" customWidth="1"/>
    <col min="29" max="29" width="2.54296875" style="2" customWidth="1"/>
    <col min="30" max="30" width="25.7265625" style="2" customWidth="1"/>
    <col min="31" max="31" width="21" style="2" customWidth="1"/>
    <col min="32" max="32" width="9" style="2" hidden="1" customWidth="1"/>
    <col min="33" max="33" width="11.453125" style="2" hidden="1" customWidth="1"/>
    <col min="34" max="34" width="4.54296875" style="2" customWidth="1"/>
    <col min="35" max="294" width="0" style="2" hidden="1" customWidth="1"/>
    <col min="295" max="16384" width="16.54296875" style="2" hidden="1"/>
  </cols>
  <sheetData>
    <row r="1" spans="1:294" s="787" customFormat="1" x14ac:dyDescent="0.3">
      <c r="A1" s="809"/>
      <c r="O1" s="2"/>
      <c r="P1" s="2"/>
      <c r="Q1" s="2"/>
      <c r="R1" s="2"/>
      <c r="S1" s="2"/>
      <c r="T1" s="2"/>
      <c r="U1" s="2"/>
      <c r="V1" s="2"/>
      <c r="W1" s="2"/>
      <c r="X1" s="2"/>
      <c r="Y1" s="2"/>
      <c r="Z1" s="2"/>
      <c r="AA1" s="2"/>
      <c r="AB1" s="2"/>
      <c r="AC1" s="2"/>
      <c r="AD1" s="638"/>
      <c r="AE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8"/>
      <c r="CH1" s="638"/>
      <c r="CI1" s="638"/>
      <c r="CJ1" s="638"/>
      <c r="CK1" s="638"/>
      <c r="CL1" s="638"/>
      <c r="CM1" s="638"/>
      <c r="CN1" s="638"/>
      <c r="CO1" s="638"/>
      <c r="CP1" s="638"/>
      <c r="CQ1" s="638"/>
      <c r="CR1" s="638"/>
      <c r="CS1" s="638"/>
      <c r="CT1" s="638"/>
      <c r="CU1" s="638"/>
      <c r="CV1" s="638"/>
      <c r="CW1" s="638"/>
      <c r="CX1" s="638"/>
      <c r="CY1" s="638"/>
      <c r="CZ1" s="638"/>
      <c r="DA1" s="638"/>
      <c r="DB1" s="638"/>
      <c r="DC1" s="638"/>
      <c r="DD1" s="638"/>
      <c r="DE1" s="638"/>
      <c r="DF1" s="638"/>
      <c r="DG1" s="638"/>
      <c r="DH1" s="638"/>
      <c r="DI1" s="638"/>
      <c r="DJ1" s="638"/>
      <c r="DK1" s="638"/>
      <c r="DL1" s="638"/>
      <c r="DM1" s="638"/>
      <c r="DN1" s="638"/>
      <c r="DO1" s="638"/>
      <c r="DP1" s="638"/>
      <c r="DQ1" s="638"/>
      <c r="DR1" s="638"/>
      <c r="DS1" s="638"/>
      <c r="DT1" s="638"/>
      <c r="DU1" s="638"/>
      <c r="DV1" s="638"/>
      <c r="DW1" s="638"/>
      <c r="DX1" s="638"/>
      <c r="DY1" s="638"/>
      <c r="DZ1" s="638"/>
      <c r="EA1" s="638"/>
      <c r="EB1" s="638"/>
      <c r="EC1" s="638"/>
      <c r="ED1" s="638"/>
      <c r="EE1" s="638"/>
      <c r="EF1" s="638"/>
      <c r="EG1" s="638"/>
      <c r="EH1" s="638"/>
      <c r="EI1" s="638"/>
      <c r="EJ1" s="638"/>
      <c r="EK1" s="638"/>
      <c r="EL1" s="638"/>
      <c r="EM1" s="638"/>
      <c r="EN1" s="638"/>
      <c r="EO1" s="638"/>
      <c r="EP1" s="638"/>
      <c r="EQ1" s="638"/>
      <c r="ER1" s="638"/>
      <c r="ES1" s="638"/>
      <c r="ET1" s="638"/>
      <c r="EU1" s="638"/>
      <c r="EV1" s="638"/>
      <c r="EW1" s="638"/>
      <c r="EX1" s="638"/>
      <c r="EY1" s="638"/>
      <c r="EZ1" s="638"/>
      <c r="FA1" s="638"/>
      <c r="FB1" s="638"/>
      <c r="FC1" s="638"/>
      <c r="FD1" s="638"/>
      <c r="FE1" s="638"/>
      <c r="FF1" s="638"/>
      <c r="FG1" s="638"/>
      <c r="FH1" s="638"/>
      <c r="FI1" s="638"/>
      <c r="FJ1" s="638"/>
      <c r="FK1" s="638"/>
      <c r="FL1" s="638"/>
      <c r="FM1" s="638"/>
      <c r="FN1" s="638"/>
      <c r="FO1" s="638"/>
      <c r="FP1" s="638"/>
      <c r="FQ1" s="638"/>
      <c r="FR1" s="638"/>
      <c r="FS1" s="638"/>
      <c r="FT1" s="638"/>
      <c r="FU1" s="638"/>
      <c r="FV1" s="638"/>
      <c r="FW1" s="638"/>
      <c r="FX1" s="638"/>
      <c r="FY1" s="638"/>
      <c r="FZ1" s="638"/>
      <c r="GA1" s="638"/>
      <c r="GB1" s="638"/>
      <c r="GC1" s="638"/>
      <c r="GD1" s="638"/>
      <c r="GE1" s="638"/>
      <c r="GF1" s="638"/>
      <c r="GG1" s="638"/>
      <c r="GH1" s="638"/>
      <c r="GI1" s="638"/>
      <c r="GJ1" s="638"/>
      <c r="GK1" s="638"/>
      <c r="GL1" s="638"/>
      <c r="GM1" s="638"/>
      <c r="GN1" s="638"/>
      <c r="GO1" s="638"/>
      <c r="GP1" s="638"/>
      <c r="GQ1" s="638"/>
      <c r="GR1" s="638"/>
      <c r="GS1" s="638"/>
      <c r="GT1" s="638"/>
      <c r="GU1" s="638"/>
      <c r="GV1" s="638"/>
      <c r="GW1" s="638"/>
      <c r="GX1" s="638"/>
      <c r="GY1" s="638"/>
      <c r="GZ1" s="638"/>
      <c r="HA1" s="638"/>
      <c r="HB1" s="638"/>
      <c r="HC1" s="638"/>
      <c r="HD1" s="638"/>
      <c r="HE1" s="638"/>
      <c r="HF1" s="638"/>
      <c r="HG1" s="638"/>
      <c r="HH1" s="638"/>
      <c r="HI1" s="638"/>
      <c r="HJ1" s="638"/>
      <c r="HK1" s="638"/>
      <c r="HL1" s="638"/>
      <c r="HM1" s="638"/>
      <c r="HN1" s="638"/>
      <c r="HO1" s="638"/>
      <c r="HP1" s="638"/>
      <c r="HQ1" s="638"/>
      <c r="HR1" s="638"/>
      <c r="HS1" s="638"/>
      <c r="HT1" s="638"/>
      <c r="HU1" s="638"/>
      <c r="HV1" s="638"/>
      <c r="HW1" s="638"/>
      <c r="HX1" s="638"/>
      <c r="HY1" s="638"/>
      <c r="HZ1" s="638"/>
      <c r="IA1" s="638"/>
      <c r="IB1" s="638"/>
      <c r="IC1" s="638"/>
      <c r="ID1" s="638"/>
      <c r="IE1" s="638"/>
      <c r="IF1" s="638"/>
      <c r="IG1" s="638"/>
      <c r="IH1" s="638"/>
      <c r="II1" s="638"/>
      <c r="IJ1" s="638"/>
      <c r="IK1" s="638"/>
      <c r="IL1" s="638"/>
      <c r="IM1" s="638"/>
      <c r="IN1" s="638"/>
      <c r="IO1" s="638"/>
      <c r="IP1" s="638"/>
      <c r="IQ1" s="638"/>
      <c r="IR1" s="638"/>
      <c r="IS1" s="638"/>
      <c r="IT1" s="638"/>
      <c r="IU1" s="638"/>
      <c r="IV1" s="638"/>
      <c r="IW1" s="638"/>
      <c r="IX1" s="638"/>
      <c r="IY1" s="638"/>
      <c r="IZ1" s="638"/>
      <c r="JA1" s="638"/>
      <c r="JB1" s="638"/>
      <c r="JC1" s="638"/>
      <c r="JD1" s="638"/>
      <c r="JE1" s="638"/>
      <c r="JF1" s="638"/>
      <c r="JG1" s="638"/>
      <c r="JH1" s="638"/>
      <c r="JI1" s="638"/>
      <c r="JJ1" s="638"/>
      <c r="JK1" s="638"/>
      <c r="JL1" s="638"/>
      <c r="JM1" s="638"/>
      <c r="JN1" s="638"/>
      <c r="JO1" s="638"/>
      <c r="JP1" s="638"/>
      <c r="JQ1" s="638"/>
      <c r="JR1" s="638"/>
      <c r="JS1" s="638"/>
      <c r="JT1" s="638"/>
      <c r="JU1" s="638"/>
      <c r="JV1" s="638"/>
      <c r="JW1" s="638"/>
      <c r="JX1" s="638"/>
      <c r="JY1" s="638"/>
      <c r="JZ1" s="638"/>
      <c r="KA1" s="638"/>
      <c r="KB1" s="638"/>
      <c r="KC1" s="638"/>
      <c r="KD1" s="638"/>
      <c r="KE1" s="638"/>
      <c r="KF1" s="638"/>
      <c r="KG1" s="638"/>
      <c r="KH1" s="638"/>
    </row>
    <row r="2" spans="1:294" s="787" customFormat="1" ht="60" customHeight="1" x14ac:dyDescent="0.3">
      <c r="B2" s="1071" t="str">
        <f>Development!B2</f>
        <v>Commercial Efficiency Program</v>
      </c>
      <c r="C2" s="1071"/>
      <c r="D2" s="1071"/>
      <c r="E2" s="1071"/>
      <c r="F2" s="1071"/>
      <c r="G2" s="1071"/>
      <c r="H2" s="1071"/>
      <c r="I2" s="810"/>
      <c r="J2" s="810"/>
      <c r="K2" s="810"/>
      <c r="L2" s="810"/>
      <c r="M2" s="810"/>
      <c r="N2" s="810"/>
      <c r="O2" s="843"/>
      <c r="P2" s="843"/>
      <c r="Q2" s="844"/>
      <c r="R2" s="844"/>
      <c r="S2" s="844"/>
      <c r="T2" s="844"/>
      <c r="U2" s="844"/>
      <c r="V2" s="844"/>
      <c r="W2" s="844"/>
      <c r="X2" s="833"/>
      <c r="Y2" s="833"/>
      <c r="Z2" s="833"/>
      <c r="AA2" s="833"/>
      <c r="AB2" s="833"/>
      <c r="AC2" s="833"/>
      <c r="AD2" s="812"/>
      <c r="AE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638"/>
      <c r="BW2" s="638"/>
      <c r="BX2" s="638"/>
      <c r="BY2" s="638"/>
      <c r="BZ2" s="638"/>
      <c r="CA2" s="638"/>
      <c r="CB2" s="638"/>
      <c r="CC2" s="638"/>
      <c r="CD2" s="638"/>
      <c r="CE2" s="638"/>
      <c r="CF2" s="638"/>
      <c r="CG2" s="638"/>
      <c r="CH2" s="638"/>
      <c r="CI2" s="638"/>
      <c r="CJ2" s="638"/>
      <c r="CK2" s="638"/>
      <c r="CL2" s="638"/>
      <c r="CM2" s="638"/>
      <c r="CN2" s="638"/>
      <c r="CO2" s="638"/>
      <c r="CP2" s="638"/>
      <c r="CQ2" s="638"/>
      <c r="CR2" s="638"/>
      <c r="CS2" s="638"/>
      <c r="CT2" s="638"/>
      <c r="CU2" s="638"/>
      <c r="CV2" s="638"/>
      <c r="CW2" s="638"/>
      <c r="CX2" s="638"/>
      <c r="CY2" s="638"/>
      <c r="CZ2" s="638"/>
      <c r="DA2" s="638"/>
      <c r="DB2" s="638"/>
      <c r="DC2" s="638"/>
      <c r="DD2" s="638"/>
      <c r="DE2" s="638"/>
      <c r="DF2" s="638"/>
      <c r="DG2" s="638"/>
      <c r="DH2" s="638"/>
      <c r="DI2" s="638"/>
      <c r="DJ2" s="638"/>
      <c r="DK2" s="638"/>
      <c r="DL2" s="638"/>
      <c r="DM2" s="638"/>
      <c r="DN2" s="638"/>
      <c r="DO2" s="638"/>
      <c r="DP2" s="638"/>
      <c r="DQ2" s="638"/>
      <c r="DR2" s="638"/>
      <c r="DS2" s="638"/>
      <c r="DT2" s="638"/>
      <c r="DU2" s="638"/>
      <c r="DV2" s="638"/>
      <c r="DW2" s="638"/>
      <c r="DX2" s="638"/>
      <c r="DY2" s="638"/>
      <c r="DZ2" s="638"/>
      <c r="EA2" s="638"/>
      <c r="EB2" s="638"/>
      <c r="EC2" s="638"/>
      <c r="ED2" s="638"/>
      <c r="EE2" s="638"/>
      <c r="EF2" s="638"/>
      <c r="EG2" s="638"/>
      <c r="EH2" s="638"/>
      <c r="EI2" s="638"/>
      <c r="EJ2" s="638"/>
      <c r="EK2" s="638"/>
      <c r="EL2" s="638"/>
      <c r="EM2" s="638"/>
      <c r="EN2" s="638"/>
      <c r="EO2" s="638"/>
      <c r="EP2" s="638"/>
      <c r="EQ2" s="638"/>
      <c r="ER2" s="638"/>
      <c r="ES2" s="638"/>
      <c r="ET2" s="638"/>
      <c r="EU2" s="638"/>
      <c r="EV2" s="638"/>
      <c r="EW2" s="638"/>
      <c r="EX2" s="638"/>
      <c r="EY2" s="638"/>
      <c r="EZ2" s="638"/>
      <c r="FA2" s="638"/>
      <c r="FB2" s="638"/>
      <c r="FC2" s="638"/>
      <c r="FD2" s="638"/>
      <c r="FE2" s="638"/>
      <c r="FF2" s="638"/>
      <c r="FG2" s="638"/>
      <c r="FH2" s="638"/>
      <c r="FI2" s="638"/>
      <c r="FJ2" s="638"/>
      <c r="FK2" s="638"/>
      <c r="FL2" s="638"/>
      <c r="FM2" s="638"/>
      <c r="FN2" s="638"/>
      <c r="FO2" s="638"/>
      <c r="FP2" s="638"/>
      <c r="FQ2" s="638"/>
      <c r="FR2" s="638"/>
      <c r="FS2" s="638"/>
      <c r="FT2" s="638"/>
      <c r="FU2" s="638"/>
      <c r="FV2" s="638"/>
      <c r="FW2" s="638"/>
      <c r="FX2" s="638"/>
      <c r="FY2" s="638"/>
      <c r="FZ2" s="638"/>
      <c r="GA2" s="638"/>
      <c r="GB2" s="638"/>
      <c r="GC2" s="638"/>
      <c r="GD2" s="638"/>
      <c r="GE2" s="638"/>
      <c r="GF2" s="638"/>
      <c r="GG2" s="638"/>
      <c r="GH2" s="638"/>
      <c r="GI2" s="638"/>
      <c r="GJ2" s="638"/>
      <c r="GK2" s="638"/>
      <c r="GL2" s="638"/>
      <c r="GM2" s="638"/>
      <c r="GN2" s="638"/>
      <c r="GO2" s="638"/>
      <c r="GP2" s="638"/>
      <c r="GQ2" s="638"/>
      <c r="GR2" s="638"/>
      <c r="GS2" s="638"/>
      <c r="GT2" s="638"/>
      <c r="GU2" s="638"/>
      <c r="GV2" s="638"/>
      <c r="GW2" s="638"/>
      <c r="GX2" s="638"/>
      <c r="GY2" s="638"/>
      <c r="GZ2" s="638"/>
      <c r="HA2" s="638"/>
      <c r="HB2" s="638"/>
      <c r="HC2" s="638"/>
      <c r="HD2" s="638"/>
      <c r="HE2" s="638"/>
      <c r="HF2" s="638"/>
      <c r="HG2" s="638"/>
      <c r="HH2" s="638"/>
      <c r="HI2" s="638"/>
      <c r="HJ2" s="638"/>
      <c r="HK2" s="638"/>
      <c r="HL2" s="638"/>
      <c r="HM2" s="638"/>
      <c r="HN2" s="638"/>
      <c r="HO2" s="638"/>
      <c r="HP2" s="638"/>
      <c r="HQ2" s="638"/>
      <c r="HR2" s="638"/>
      <c r="HS2" s="638"/>
      <c r="HT2" s="638"/>
      <c r="HU2" s="638"/>
      <c r="HV2" s="638"/>
      <c r="HW2" s="638"/>
      <c r="HX2" s="638"/>
      <c r="HY2" s="638"/>
      <c r="HZ2" s="638"/>
      <c r="IA2" s="638"/>
      <c r="IB2" s="638"/>
      <c r="IC2" s="638"/>
      <c r="ID2" s="638"/>
      <c r="IE2" s="638"/>
      <c r="IF2" s="638"/>
      <c r="IG2" s="638"/>
      <c r="IH2" s="638"/>
      <c r="II2" s="638"/>
      <c r="IJ2" s="638"/>
      <c r="IK2" s="638"/>
      <c r="IL2" s="638"/>
      <c r="IM2" s="638"/>
      <c r="IN2" s="638"/>
      <c r="IO2" s="638"/>
      <c r="IP2" s="638"/>
      <c r="IQ2" s="638"/>
      <c r="IR2" s="638"/>
      <c r="IS2" s="638"/>
      <c r="IT2" s="638"/>
      <c r="IU2" s="638"/>
      <c r="IV2" s="638"/>
      <c r="IW2" s="638"/>
      <c r="IX2" s="638"/>
      <c r="IY2" s="638"/>
      <c r="IZ2" s="638"/>
      <c r="JA2" s="638"/>
      <c r="JB2" s="638"/>
      <c r="JC2" s="638"/>
      <c r="JD2" s="638"/>
      <c r="JE2" s="638"/>
      <c r="JF2" s="638"/>
      <c r="JG2" s="638"/>
      <c r="JH2" s="638"/>
      <c r="JI2" s="638"/>
      <c r="JJ2" s="638"/>
      <c r="JK2" s="638"/>
      <c r="JL2" s="638"/>
      <c r="JM2" s="638"/>
      <c r="JN2" s="638"/>
      <c r="JO2" s="638"/>
      <c r="JP2" s="638"/>
      <c r="JQ2" s="638"/>
      <c r="JR2" s="638"/>
      <c r="JS2" s="638"/>
      <c r="JT2" s="638"/>
      <c r="JU2" s="638"/>
      <c r="JV2" s="638"/>
      <c r="JW2" s="638"/>
      <c r="JX2" s="638"/>
      <c r="JY2" s="638"/>
      <c r="JZ2" s="638"/>
      <c r="KA2" s="638"/>
      <c r="KB2" s="638"/>
      <c r="KC2" s="638"/>
      <c r="KD2" s="638"/>
      <c r="KE2" s="638"/>
      <c r="KF2" s="638"/>
      <c r="KG2" s="638"/>
      <c r="KH2" s="638"/>
    </row>
    <row r="3" spans="1:294" s="789" customFormat="1" ht="60" customHeight="1" thickBot="1" x14ac:dyDescent="0.35">
      <c r="B3" s="1023" t="str">
        <f>"     "&amp;" HVAC Rebate Worksheet, Version"&amp;" "&amp;Development!B5</f>
        <v xml:space="preserve">      HVAC Rebate Worksheet, Version 2.0</v>
      </c>
      <c r="C3" s="1023"/>
      <c r="D3" s="1023"/>
      <c r="E3" s="1023"/>
      <c r="F3" s="1023"/>
      <c r="G3" s="1023"/>
      <c r="H3" s="1023"/>
      <c r="I3" s="788"/>
      <c r="J3" s="788"/>
      <c r="K3" s="788"/>
      <c r="L3" s="788"/>
      <c r="M3" s="788"/>
      <c r="N3" s="788"/>
      <c r="O3" s="836"/>
      <c r="P3" s="836"/>
      <c r="Q3" s="845"/>
      <c r="R3" s="845"/>
      <c r="S3" s="845"/>
      <c r="T3" s="845"/>
      <c r="U3" s="845"/>
      <c r="V3" s="845"/>
      <c r="W3" s="845"/>
      <c r="X3" s="846"/>
      <c r="Y3" s="846"/>
      <c r="Z3" s="846"/>
      <c r="AA3" s="846"/>
      <c r="AB3" s="846"/>
      <c r="AC3" s="846"/>
      <c r="AD3" s="813"/>
      <c r="AE3" s="793"/>
      <c r="AH3" s="845"/>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c r="BS3" s="638"/>
      <c r="BT3" s="638"/>
      <c r="BU3" s="638"/>
      <c r="BV3" s="638"/>
      <c r="BW3" s="638"/>
      <c r="BX3" s="638"/>
      <c r="BY3" s="638"/>
      <c r="BZ3" s="638"/>
      <c r="CA3" s="638"/>
      <c r="CB3" s="638"/>
      <c r="CC3" s="638"/>
      <c r="CD3" s="638"/>
      <c r="CE3" s="638"/>
      <c r="CF3" s="638"/>
      <c r="CG3" s="638"/>
      <c r="CH3" s="638"/>
      <c r="CI3" s="638"/>
      <c r="CJ3" s="638"/>
      <c r="CK3" s="638"/>
      <c r="CL3" s="638"/>
      <c r="CM3" s="638"/>
      <c r="CN3" s="638"/>
      <c r="CO3" s="638"/>
      <c r="CP3" s="638"/>
      <c r="CQ3" s="638"/>
      <c r="CR3" s="638"/>
      <c r="CS3" s="638"/>
      <c r="CT3" s="638"/>
      <c r="CU3" s="638"/>
      <c r="CV3" s="638"/>
      <c r="CW3" s="638"/>
      <c r="CX3" s="638"/>
      <c r="CY3" s="638"/>
      <c r="CZ3" s="638"/>
      <c r="DA3" s="638"/>
      <c r="DB3" s="638"/>
      <c r="DC3" s="638"/>
      <c r="DD3" s="638"/>
      <c r="DE3" s="638"/>
      <c r="DF3" s="638"/>
      <c r="DG3" s="638"/>
      <c r="DH3" s="638"/>
      <c r="DI3" s="638"/>
      <c r="DJ3" s="638"/>
      <c r="DK3" s="638"/>
      <c r="DL3" s="638"/>
      <c r="DM3" s="638"/>
      <c r="DN3" s="638"/>
      <c r="DO3" s="638"/>
      <c r="DP3" s="638"/>
      <c r="DQ3" s="638"/>
      <c r="DR3" s="638"/>
      <c r="DS3" s="638"/>
      <c r="DT3" s="638"/>
      <c r="DU3" s="638"/>
      <c r="DV3" s="638"/>
      <c r="DW3" s="638"/>
      <c r="DX3" s="638"/>
      <c r="DY3" s="638"/>
      <c r="DZ3" s="638"/>
      <c r="EA3" s="638"/>
      <c r="EB3" s="638"/>
      <c r="EC3" s="638"/>
      <c r="ED3" s="638"/>
      <c r="EE3" s="638"/>
      <c r="EF3" s="638"/>
      <c r="EG3" s="638"/>
      <c r="EH3" s="638"/>
      <c r="EI3" s="638"/>
      <c r="EJ3" s="638"/>
      <c r="EK3" s="638"/>
      <c r="EL3" s="638"/>
      <c r="EM3" s="638"/>
      <c r="EN3" s="638"/>
      <c r="EO3" s="638"/>
      <c r="EP3" s="638"/>
      <c r="EQ3" s="638"/>
      <c r="ER3" s="638"/>
      <c r="ES3" s="638"/>
      <c r="ET3" s="638"/>
      <c r="EU3" s="638"/>
      <c r="EV3" s="638"/>
      <c r="EW3" s="638"/>
      <c r="EX3" s="638"/>
      <c r="EY3" s="638"/>
      <c r="EZ3" s="638"/>
      <c r="FA3" s="638"/>
      <c r="FB3" s="638"/>
      <c r="FC3" s="638"/>
      <c r="FD3" s="638"/>
      <c r="FE3" s="638"/>
      <c r="FF3" s="638"/>
      <c r="FG3" s="638"/>
      <c r="FH3" s="638"/>
      <c r="FI3" s="638"/>
      <c r="FJ3" s="638"/>
      <c r="FK3" s="638"/>
      <c r="FL3" s="638"/>
      <c r="FM3" s="638"/>
      <c r="FN3" s="638"/>
      <c r="FO3" s="638"/>
      <c r="FP3" s="638"/>
      <c r="FQ3" s="638"/>
      <c r="FR3" s="638"/>
      <c r="FS3" s="638"/>
      <c r="FT3" s="638"/>
      <c r="FU3" s="638"/>
      <c r="FV3" s="638"/>
      <c r="FW3" s="638"/>
      <c r="FX3" s="638"/>
      <c r="FY3" s="638"/>
      <c r="FZ3" s="638"/>
      <c r="GA3" s="638"/>
      <c r="GB3" s="638"/>
      <c r="GC3" s="638"/>
      <c r="GD3" s="638"/>
      <c r="GE3" s="638"/>
      <c r="GF3" s="638"/>
      <c r="GG3" s="638"/>
      <c r="GH3" s="638"/>
      <c r="GI3" s="638"/>
      <c r="GJ3" s="638"/>
      <c r="GK3" s="638"/>
      <c r="GL3" s="638"/>
      <c r="GM3" s="638"/>
      <c r="GN3" s="638"/>
      <c r="GO3" s="638"/>
      <c r="GP3" s="638"/>
      <c r="GQ3" s="638"/>
      <c r="GR3" s="638"/>
      <c r="GS3" s="638"/>
      <c r="GT3" s="638"/>
      <c r="GU3" s="638"/>
      <c r="GV3" s="638"/>
      <c r="GW3" s="638"/>
      <c r="GX3" s="638"/>
      <c r="GY3" s="638"/>
      <c r="GZ3" s="638"/>
      <c r="HA3" s="638"/>
      <c r="HB3" s="638"/>
      <c r="HC3" s="638"/>
      <c r="HD3" s="638"/>
      <c r="HE3" s="638"/>
      <c r="HF3" s="638"/>
      <c r="HG3" s="638"/>
      <c r="HH3" s="638"/>
      <c r="HI3" s="638"/>
      <c r="HJ3" s="638"/>
      <c r="HK3" s="638"/>
      <c r="HL3" s="638"/>
      <c r="HM3" s="638"/>
      <c r="HN3" s="638"/>
      <c r="HO3" s="638"/>
      <c r="HP3" s="638"/>
      <c r="HQ3" s="638"/>
      <c r="HR3" s="638"/>
      <c r="HS3" s="638"/>
      <c r="HT3" s="638"/>
      <c r="HU3" s="638"/>
      <c r="HV3" s="638"/>
      <c r="HW3" s="638"/>
      <c r="HX3" s="638"/>
      <c r="HY3" s="638"/>
      <c r="HZ3" s="638"/>
      <c r="IA3" s="638"/>
      <c r="IB3" s="638"/>
      <c r="IC3" s="638"/>
      <c r="ID3" s="638"/>
      <c r="IE3" s="638"/>
      <c r="IF3" s="638"/>
      <c r="IG3" s="638"/>
      <c r="IH3" s="638"/>
      <c r="II3" s="638"/>
      <c r="IJ3" s="638"/>
      <c r="IK3" s="638"/>
      <c r="IL3" s="638"/>
      <c r="IM3" s="638"/>
      <c r="IN3" s="638"/>
      <c r="IO3" s="638"/>
      <c r="IP3" s="638"/>
      <c r="IQ3" s="638"/>
      <c r="IR3" s="638"/>
      <c r="IS3" s="638"/>
      <c r="IT3" s="638"/>
      <c r="IU3" s="638"/>
      <c r="IV3" s="638"/>
      <c r="IW3" s="638"/>
      <c r="IX3" s="638"/>
      <c r="IY3" s="638"/>
      <c r="IZ3" s="638"/>
      <c r="JA3" s="638"/>
      <c r="JB3" s="638"/>
      <c r="JC3" s="638"/>
      <c r="JD3" s="638"/>
      <c r="JE3" s="638"/>
      <c r="JF3" s="638"/>
      <c r="JG3" s="638"/>
      <c r="JH3" s="638"/>
      <c r="JI3" s="638"/>
      <c r="JJ3" s="638"/>
      <c r="JK3" s="638"/>
      <c r="JL3" s="638"/>
      <c r="JM3" s="638"/>
      <c r="JN3" s="638"/>
      <c r="JO3" s="638"/>
      <c r="JP3" s="638"/>
      <c r="JQ3" s="638"/>
      <c r="JR3" s="638"/>
      <c r="JS3" s="638"/>
      <c r="JT3" s="638"/>
      <c r="JU3" s="638"/>
      <c r="JV3" s="638"/>
      <c r="JW3" s="638"/>
      <c r="JX3" s="638"/>
      <c r="JY3" s="638"/>
      <c r="JZ3" s="638"/>
      <c r="KA3" s="638"/>
      <c r="KB3" s="638"/>
      <c r="KC3" s="638"/>
      <c r="KD3" s="638"/>
      <c r="KE3" s="638"/>
      <c r="KF3" s="638"/>
      <c r="KG3" s="638"/>
      <c r="KH3" s="638"/>
    </row>
    <row r="4" spans="1:294" s="638" customFormat="1" ht="9" customHeight="1" thickTop="1" x14ac:dyDescent="0.3">
      <c r="B4" s="639"/>
      <c r="C4" s="639"/>
      <c r="D4" s="639"/>
      <c r="E4" s="639"/>
      <c r="F4" s="639"/>
      <c r="G4" s="639"/>
      <c r="H4" s="639"/>
      <c r="I4" s="639"/>
      <c r="J4" s="639"/>
      <c r="K4" s="639"/>
      <c r="L4" s="639"/>
      <c r="M4" s="639"/>
      <c r="N4" s="639"/>
      <c r="O4" s="639"/>
      <c r="P4" s="639"/>
      <c r="Q4" s="639"/>
      <c r="R4" s="639"/>
      <c r="S4" s="639"/>
      <c r="T4" s="639"/>
      <c r="U4" s="639"/>
      <c r="V4" s="639"/>
      <c r="W4" s="639"/>
      <c r="X4" s="640"/>
      <c r="Y4" s="640"/>
      <c r="Z4" s="640"/>
      <c r="AA4" s="640"/>
      <c r="AB4" s="640"/>
      <c r="AC4" s="640"/>
      <c r="AD4" s="640"/>
    </row>
    <row r="5" spans="1:294" ht="22.4" customHeight="1" x14ac:dyDescent="0.4">
      <c r="B5" s="273" t="s">
        <v>781</v>
      </c>
      <c r="C5" s="272" t="str">
        <f>Development!B6</f>
        <v>1.22.2024</v>
      </c>
      <c r="D5" s="272"/>
      <c r="AD5" s="1088" t="s">
        <v>820</v>
      </c>
      <c r="AE5" s="1089"/>
      <c r="AF5" s="469"/>
    </row>
    <row r="6" spans="1:294" ht="16.5" customHeight="1" x14ac:dyDescent="0.3">
      <c r="AD6" s="1090"/>
      <c r="AE6" s="1091"/>
      <c r="AF6" s="469"/>
    </row>
    <row r="7" spans="1:294" ht="16.5" customHeight="1" x14ac:dyDescent="0.35">
      <c r="B7" s="1" t="s">
        <v>0</v>
      </c>
      <c r="C7" s="1087" t="str">
        <f>IF('Customer Information'!$C$6="","",'Customer Information'!$C$6)</f>
        <v/>
      </c>
      <c r="D7" s="1087"/>
      <c r="E7" s="1087"/>
      <c r="F7" s="31" t="s">
        <v>1369</v>
      </c>
      <c r="G7" s="1085" t="str">
        <f>IF('Customer Information'!C16="","",'Customer Information'!C16)</f>
        <v>Select …</v>
      </c>
      <c r="H7" s="1085"/>
      <c r="AD7" s="284" t="s">
        <v>821</v>
      </c>
      <c r="AE7" s="282" t="str">
        <f>IF(Summary!H95=0,"",Summary!H95)</f>
        <v/>
      </c>
      <c r="AF7" s="279"/>
    </row>
    <row r="8" spans="1:294" ht="16.5" customHeight="1" x14ac:dyDescent="0.35">
      <c r="B8" s="1" t="s">
        <v>2</v>
      </c>
      <c r="C8" s="1087" t="str">
        <f>IF('Customer Information'!$C$7="","",'Customer Information'!$C$7)</f>
        <v/>
      </c>
      <c r="D8" s="1087"/>
      <c r="E8" s="1087"/>
      <c r="F8" s="1" t="s">
        <v>1</v>
      </c>
      <c r="G8" s="1084" t="str">
        <f>IF('Customer Information'!$C$5="","",'Customer Information'!$C$5)</f>
        <v/>
      </c>
      <c r="H8" s="1084"/>
      <c r="AD8" s="285" t="s">
        <v>822</v>
      </c>
      <c r="AE8" s="280" t="str">
        <f>IF(Summary!I95=0,"",Summary!I95)</f>
        <v/>
      </c>
      <c r="AF8" s="279"/>
    </row>
    <row r="9" spans="1:294" ht="15.5" x14ac:dyDescent="0.35">
      <c r="B9" s="1" t="s">
        <v>3</v>
      </c>
      <c r="C9" s="1087" t="str">
        <f>IF(AND('Customer Information'!$I$7="",'Customer Information'!$L$7=""),"",CONCATENATE('Customer Information'!$I$7,", NY ",'Customer Information'!$L$7))</f>
        <v/>
      </c>
      <c r="D9" s="1087"/>
      <c r="E9" s="1087"/>
      <c r="F9" s="1" t="s">
        <v>4</v>
      </c>
      <c r="G9" s="1086" t="str">
        <f>IF('Customer Information'!$K$9="","",'Customer Information'!$K$9)</f>
        <v/>
      </c>
      <c r="H9" s="1086"/>
      <c r="AD9" s="285" t="s">
        <v>1686</v>
      </c>
      <c r="AE9" s="617" t="str">
        <f>IF(Summary!J95=0,"",Summary!J95)</f>
        <v/>
      </c>
      <c r="AF9" s="279"/>
    </row>
    <row r="10" spans="1:294" ht="15.5" x14ac:dyDescent="0.35">
      <c r="B10" s="1" t="s">
        <v>5</v>
      </c>
      <c r="C10" s="1087" t="str">
        <f>IF('Customer Information'!$C$10="","",'Customer Information'!$C$10)</f>
        <v/>
      </c>
      <c r="D10" s="1087"/>
      <c r="E10" s="1087"/>
      <c r="F10" s="1" t="s">
        <v>6</v>
      </c>
      <c r="G10" s="1086" t="str">
        <f>IF('Customer Information'!$K$10="","",'Customer Information'!$K$10)</f>
        <v/>
      </c>
      <c r="H10" s="1086"/>
      <c r="AD10" s="286" t="s">
        <v>808</v>
      </c>
      <c r="AE10" s="281" t="str">
        <f>IF(SUM(AE17:AE41)=0,"",SUM(AE17:AE41))</f>
        <v/>
      </c>
      <c r="AF10" s="279"/>
    </row>
    <row r="11" spans="1:294" ht="15.5" x14ac:dyDescent="0.35">
      <c r="B11" s="1" t="s">
        <v>7</v>
      </c>
      <c r="C11" s="1087" t="str">
        <f>IF('Customer Information'!$C$11="","",'Customer Information'!$C$11)</f>
        <v/>
      </c>
      <c r="D11" s="1087"/>
      <c r="E11" s="1087"/>
      <c r="F11" s="1" t="s">
        <v>8</v>
      </c>
      <c r="G11" s="1086" t="str">
        <f>IF('Customer Information'!$K$11="","",'Customer Information'!$K$11)</f>
        <v/>
      </c>
      <c r="H11" s="1086"/>
      <c r="AD11" s="591" t="s">
        <v>1042</v>
      </c>
      <c r="AE11" s="592">
        <f>IF(Summary!K95="","",MIN(SUM(R17:R41)*0.7,Summary!K95))</f>
        <v>0</v>
      </c>
      <c r="AF11" s="278"/>
      <c r="AG11" s="274" t="e">
        <f>IF(AE10=0,"",AE11/AE10)</f>
        <v>#VALUE!</v>
      </c>
    </row>
    <row r="12" spans="1:294" ht="15.5" x14ac:dyDescent="0.35">
      <c r="B12" s="1" t="s">
        <v>1196</v>
      </c>
      <c r="C12" s="1087" t="str">
        <f>IF('Customer Information'!$L$42="","",'Customer Information'!$L$42)</f>
        <v/>
      </c>
      <c r="D12" s="1087"/>
      <c r="E12" s="1087"/>
      <c r="F12" s="1"/>
      <c r="G12" s="1"/>
      <c r="H12" s="1"/>
    </row>
    <row r="13" spans="1:294" ht="15.5" x14ac:dyDescent="0.35">
      <c r="B13" s="1"/>
      <c r="C13" s="1"/>
      <c r="D13" s="1"/>
      <c r="E13" s="1"/>
      <c r="F13" s="1"/>
      <c r="G13" s="1"/>
      <c r="H13" s="1"/>
      <c r="U13" s="653" t="s">
        <v>1863</v>
      </c>
      <c r="V13" s="653"/>
      <c r="W13" s="653"/>
      <c r="X13" s="653"/>
      <c r="Y13" s="653"/>
      <c r="Z13" s="653"/>
      <c r="AA13" s="653"/>
      <c r="AB13" s="653"/>
      <c r="AD13" s="2" t="str">
        <f>IF(OR(BuildingType="",BuildingType="Select …"),"*Please enter a Building Type*","")</f>
        <v>*Please enter a Building Type*</v>
      </c>
    </row>
    <row r="14" spans="1:294" x14ac:dyDescent="0.3">
      <c r="B14" s="1081" t="s">
        <v>46</v>
      </c>
      <c r="C14" s="1082"/>
      <c r="D14" s="1082"/>
      <c r="E14" s="1082"/>
      <c r="F14" s="1082"/>
      <c r="G14" s="1082"/>
      <c r="H14" s="1082"/>
      <c r="I14" s="1082"/>
      <c r="J14" s="1082"/>
      <c r="K14" s="1082"/>
      <c r="L14" s="1082"/>
      <c r="M14" s="1083"/>
      <c r="N14" s="256"/>
      <c r="O14" s="1081" t="s">
        <v>637</v>
      </c>
      <c r="P14" s="1082"/>
      <c r="Q14" s="1083"/>
      <c r="R14" s="287"/>
      <c r="S14" s="250"/>
      <c r="T14" s="1081" t="s">
        <v>45</v>
      </c>
      <c r="U14" s="1082"/>
      <c r="V14" s="1082"/>
      <c r="W14" s="1082"/>
      <c r="X14" s="1082"/>
      <c r="Y14" s="1082"/>
      <c r="Z14" s="1082"/>
      <c r="AA14" s="1082"/>
      <c r="AB14" s="1083"/>
      <c r="AC14" s="250"/>
      <c r="AD14" s="1081"/>
      <c r="AE14" s="1083"/>
    </row>
    <row r="15" spans="1:294" s="271" customFormat="1" ht="42" customHeight="1" x14ac:dyDescent="0.3">
      <c r="A15" s="2"/>
      <c r="B15" s="811" t="s">
        <v>9</v>
      </c>
      <c r="C15" s="811" t="s">
        <v>24</v>
      </c>
      <c r="D15" s="811"/>
      <c r="E15" s="811" t="s">
        <v>10</v>
      </c>
      <c r="F15" s="811" t="s">
        <v>23</v>
      </c>
      <c r="G15" s="811" t="s">
        <v>1220</v>
      </c>
      <c r="H15" s="811" t="s">
        <v>47</v>
      </c>
      <c r="I15" s="811" t="s">
        <v>28</v>
      </c>
      <c r="J15" s="811" t="s">
        <v>927</v>
      </c>
      <c r="K15" s="811" t="s">
        <v>27</v>
      </c>
      <c r="L15" s="811" t="s">
        <v>101</v>
      </c>
      <c r="M15" s="811" t="s">
        <v>100</v>
      </c>
      <c r="N15" s="257"/>
      <c r="O15" s="811" t="s">
        <v>638</v>
      </c>
      <c r="P15" s="811" t="s">
        <v>639</v>
      </c>
      <c r="Q15" s="811" t="s">
        <v>640</v>
      </c>
      <c r="R15" s="288"/>
      <c r="S15" s="251"/>
      <c r="T15" s="811" t="s">
        <v>1778</v>
      </c>
      <c r="U15" s="811" t="s">
        <v>1779</v>
      </c>
      <c r="V15" s="811"/>
      <c r="W15" s="811" t="s">
        <v>1858</v>
      </c>
      <c r="X15" s="811" t="s">
        <v>1859</v>
      </c>
      <c r="Y15" s="811" t="s">
        <v>1860</v>
      </c>
      <c r="Z15" s="811" t="s">
        <v>1861</v>
      </c>
      <c r="AA15" s="811" t="s">
        <v>1862</v>
      </c>
      <c r="AB15" s="811" t="s">
        <v>1291</v>
      </c>
      <c r="AC15" s="251"/>
      <c r="AD15" s="811" t="s">
        <v>1046</v>
      </c>
      <c r="AE15" s="811" t="s">
        <v>29</v>
      </c>
    </row>
    <row r="16" spans="1:294" ht="20.149999999999999" customHeight="1" x14ac:dyDescent="0.3">
      <c r="A16" s="4" t="s">
        <v>66</v>
      </c>
      <c r="B16" s="6" t="s">
        <v>91</v>
      </c>
      <c r="C16" s="6" t="s">
        <v>90</v>
      </c>
      <c r="D16" s="6"/>
      <c r="E16" s="6" t="s">
        <v>11</v>
      </c>
      <c r="F16" s="6" t="s">
        <v>324</v>
      </c>
      <c r="G16" s="6" t="s">
        <v>538</v>
      </c>
      <c r="H16" s="6">
        <v>5</v>
      </c>
      <c r="I16" s="6">
        <v>3</v>
      </c>
      <c r="J16" s="6">
        <v>16</v>
      </c>
      <c r="K16" s="6">
        <v>13</v>
      </c>
      <c r="L16" s="6">
        <v>8.5</v>
      </c>
      <c r="M16" s="6">
        <v>3.5</v>
      </c>
      <c r="N16" s="252"/>
      <c r="O16" s="258">
        <v>5000</v>
      </c>
      <c r="P16" s="258">
        <v>1500</v>
      </c>
      <c r="Q16" s="258">
        <v>6500</v>
      </c>
      <c r="R16" s="258"/>
      <c r="S16" s="251"/>
      <c r="T16" s="6" t="s">
        <v>179</v>
      </c>
      <c r="U16" s="6" t="s">
        <v>1277</v>
      </c>
      <c r="V16" s="6"/>
      <c r="W16" s="6"/>
      <c r="X16" s="613">
        <v>13</v>
      </c>
      <c r="Y16" s="613">
        <v>9</v>
      </c>
      <c r="Z16" s="6">
        <v>8.5</v>
      </c>
      <c r="AA16" s="6">
        <v>1</v>
      </c>
      <c r="AB16" s="612">
        <v>0.8</v>
      </c>
      <c r="AC16" s="252"/>
      <c r="AD16" s="6"/>
      <c r="AE16" s="133"/>
    </row>
    <row r="17" spans="1:34" ht="20.149999999999999" customHeight="1" x14ac:dyDescent="0.3">
      <c r="A17" s="2">
        <v>1</v>
      </c>
      <c r="B17" s="344"/>
      <c r="C17" s="344"/>
      <c r="D17" s="344" t="str">
        <f>IF(OR(B17="",C17="",IF(RIGHT(B17,18)&lt;&gt;"Climate Heat Pumps",E17="")),"",INDEX(References!$U$4:$U$44,MATCH(Calculations!$H7,References!$T$4:$T$44,0)))</f>
        <v/>
      </c>
      <c r="E17" s="344"/>
      <c r="F17" s="344"/>
      <c r="G17" s="344"/>
      <c r="H17" s="344"/>
      <c r="I17" s="344"/>
      <c r="J17" s="344"/>
      <c r="K17" s="344"/>
      <c r="L17" s="345"/>
      <c r="M17" s="345"/>
      <c r="N17" s="252"/>
      <c r="O17" s="283"/>
      <c r="P17" s="283"/>
      <c r="Q17" s="470" t="str">
        <f t="shared" ref="Q17:Q41" si="0">IF(OR(O17="",P17=""),"",P17+O17)</f>
        <v/>
      </c>
      <c r="R17" s="471" t="str">
        <f>IF(OR(I17="",Q17=""),"",Q17*I17)</f>
        <v/>
      </c>
      <c r="S17" s="251"/>
      <c r="T17" s="344"/>
      <c r="U17" s="344"/>
      <c r="V17" s="764" t="str">
        <f>IF(OR(B17="",C17="",IF(RIGHT(B17,18)&lt;&gt;"Climate Heat Pumps",E17="")),"",INDEX(References!$V$4:$V$44,MATCH(Calculations!$H7,References!$T$4:$T$44,0)))</f>
        <v/>
      </c>
      <c r="W17" s="344"/>
      <c r="X17" s="345"/>
      <c r="Y17" s="344"/>
      <c r="Z17" s="598"/>
      <c r="AA17" s="598"/>
      <c r="AB17" s="599"/>
      <c r="AC17" s="252"/>
      <c r="AD17" s="7" t="str">
        <f>IF(OR(ISERROR(Calculations!Y7),Calculations!C7=""),"",Calculations!Y7)</f>
        <v/>
      </c>
      <c r="AE17" s="134" t="str">
        <f>IF(OR(I17="",T17="",U17="",Q17=""),"",Calculations!BM7)</f>
        <v/>
      </c>
      <c r="AF17" s="275" t="str">
        <f>IF(AE17="","",AE17*AG$11)</f>
        <v/>
      </c>
      <c r="AG17" s="275" t="str">
        <f>IF(AF17="","",AF17/I17)</f>
        <v/>
      </c>
      <c r="AH17" s="623" t="str">
        <f>IF(AND(OR(T17="",U17=""),AD17="PASS"),"*Please enter Existing Equipment Type. Enter ''None'' for New Construction*","")</f>
        <v/>
      </c>
    </row>
    <row r="18" spans="1:34" ht="20.149999999999999" customHeight="1" x14ac:dyDescent="0.3">
      <c r="A18" s="3">
        <v>2</v>
      </c>
      <c r="B18" s="344"/>
      <c r="C18" s="344"/>
      <c r="D18" s="344" t="str">
        <f>IF(OR(B18="",C18="",IF(RIGHT(B18,18)&lt;&gt;"Climate Heat Pumps",E18="")),"",INDEX(References!$U$4:$U$44,MATCH(Calculations!$H8,References!$T$4:$T$44,0)))</f>
        <v/>
      </c>
      <c r="E18" s="344"/>
      <c r="F18" s="344"/>
      <c r="G18" s="344"/>
      <c r="H18" s="344"/>
      <c r="I18" s="344"/>
      <c r="J18" s="344"/>
      <c r="K18" s="344"/>
      <c r="L18" s="345"/>
      <c r="M18" s="345"/>
      <c r="N18" s="252"/>
      <c r="O18" s="283"/>
      <c r="P18" s="283"/>
      <c r="Q18" s="470" t="str">
        <f t="shared" si="0"/>
        <v/>
      </c>
      <c r="R18" s="471" t="str">
        <f t="shared" ref="R18:R41" si="1">IF(OR(I18="",Q18=""),"",Q18*I18)</f>
        <v/>
      </c>
      <c r="S18" s="251"/>
      <c r="T18" s="344"/>
      <c r="U18" s="344"/>
      <c r="V18" s="764" t="str">
        <f>IF(OR(B18="",C18="",IF(RIGHT(B18,18)&lt;&gt;"Climate Heat Pumps",E18="")),"",INDEX(References!$V$4:$V$44,MATCH(Calculations!$H8,References!$T$4:$T$44,0)))</f>
        <v/>
      </c>
      <c r="W18" s="344"/>
      <c r="X18" s="345"/>
      <c r="Y18" s="344"/>
      <c r="Z18" s="598"/>
      <c r="AA18" s="598"/>
      <c r="AB18" s="599"/>
      <c r="AC18" s="252"/>
      <c r="AD18" s="7" t="str">
        <f>IF(OR(ISERROR(Calculations!Y8),Calculations!C8=""),"",Calculations!Y8)</f>
        <v/>
      </c>
      <c r="AE18" s="134" t="str">
        <f>IF(OR(I18="",T18="",U18="",Q18=""),"",Calculations!BM8)</f>
        <v/>
      </c>
      <c r="AF18" s="275" t="str">
        <f t="shared" ref="AF18:AF41" si="2">IF(AE18="","",AE18*AG$11)</f>
        <v/>
      </c>
      <c r="AG18" s="275" t="str">
        <f t="shared" ref="AG18:AG41" si="3">IF(AF18="","",AF18/I18)</f>
        <v/>
      </c>
      <c r="AH18" s="623" t="str">
        <f t="shared" ref="AH18:AH41" si="4">IF(AND(OR(T18="",U18=""),AD18="PASS"),"*Please enter Existing Equipment Type. Enter ''None'' for New Construction*","")</f>
        <v/>
      </c>
    </row>
    <row r="19" spans="1:34" ht="20.149999999999999" customHeight="1" x14ac:dyDescent="0.3">
      <c r="A19" s="3">
        <v>3</v>
      </c>
      <c r="B19" s="344"/>
      <c r="C19" s="344"/>
      <c r="D19" s="344" t="str">
        <f>IF(OR(B19="",C19="",IF(RIGHT(B19,18)&lt;&gt;"Climate Heat Pumps",E19="")),"",INDEX(References!$U$4:$U$44,MATCH(Calculations!$H9,References!$T$4:$T$44,0)))</f>
        <v/>
      </c>
      <c r="E19" s="344"/>
      <c r="F19" s="344"/>
      <c r="G19" s="344"/>
      <c r="H19" s="344"/>
      <c r="I19" s="344"/>
      <c r="J19" s="344"/>
      <c r="K19" s="344"/>
      <c r="L19" s="345"/>
      <c r="M19" s="345"/>
      <c r="N19" s="252"/>
      <c r="O19" s="283"/>
      <c r="P19" s="283"/>
      <c r="Q19" s="470" t="str">
        <f t="shared" si="0"/>
        <v/>
      </c>
      <c r="R19" s="471" t="str">
        <f t="shared" si="1"/>
        <v/>
      </c>
      <c r="S19" s="251"/>
      <c r="T19" s="344"/>
      <c r="U19" s="344"/>
      <c r="V19" s="764" t="str">
        <f>IF(OR(B19="",C19="",IF(RIGHT(B19,18)&lt;&gt;"Climate Heat Pumps",E19="")),"",INDEX(References!$V$4:$V$44,MATCH(Calculations!$H9,References!$T$4:$T$44,0)))</f>
        <v/>
      </c>
      <c r="W19" s="344"/>
      <c r="X19" s="345"/>
      <c r="Y19" s="344"/>
      <c r="Z19" s="598"/>
      <c r="AA19" s="598"/>
      <c r="AB19" s="599"/>
      <c r="AC19" s="252"/>
      <c r="AD19" s="7" t="str">
        <f>IF(OR(ISERROR(Calculations!Y9),Calculations!C9=""),"",Calculations!Y9)</f>
        <v/>
      </c>
      <c r="AE19" s="134" t="str">
        <f>IF(OR(I19="",T19="",U19="",Q19=""),"",Calculations!BM9)</f>
        <v/>
      </c>
      <c r="AF19" s="275" t="str">
        <f t="shared" si="2"/>
        <v/>
      </c>
      <c r="AG19" s="275" t="str">
        <f t="shared" si="3"/>
        <v/>
      </c>
      <c r="AH19" s="623" t="str">
        <f t="shared" si="4"/>
        <v/>
      </c>
    </row>
    <row r="20" spans="1:34" ht="20.149999999999999" customHeight="1" x14ac:dyDescent="0.3">
      <c r="A20" s="3">
        <v>4</v>
      </c>
      <c r="B20" s="344"/>
      <c r="C20" s="344"/>
      <c r="D20" s="344" t="str">
        <f>IF(OR(B20="",C20="",IF(RIGHT(B20,18)&lt;&gt;"Climate Heat Pumps",E20="")),"",INDEX(References!$U$4:$U$44,MATCH(Calculations!$H10,References!$T$4:$T$44,0)))</f>
        <v/>
      </c>
      <c r="E20" s="344"/>
      <c r="F20" s="344"/>
      <c r="G20" s="344"/>
      <c r="H20" s="344"/>
      <c r="I20" s="344"/>
      <c r="J20" s="344"/>
      <c r="K20" s="344"/>
      <c r="L20" s="345"/>
      <c r="M20" s="345"/>
      <c r="N20" s="252"/>
      <c r="O20" s="283"/>
      <c r="P20" s="283"/>
      <c r="Q20" s="470" t="str">
        <f t="shared" si="0"/>
        <v/>
      </c>
      <c r="R20" s="471" t="str">
        <f t="shared" si="1"/>
        <v/>
      </c>
      <c r="S20" s="251"/>
      <c r="T20" s="344"/>
      <c r="U20" s="344"/>
      <c r="V20" s="764" t="str">
        <f>IF(OR(B20="",C20="",IF(RIGHT(B20,18)&lt;&gt;"Climate Heat Pumps",E20="")),"",INDEX(References!$V$4:$V$44,MATCH(Calculations!$H10,References!$T$4:$T$44,0)))</f>
        <v/>
      </c>
      <c r="W20" s="344"/>
      <c r="X20" s="345"/>
      <c r="Y20" s="344"/>
      <c r="Z20" s="598"/>
      <c r="AA20" s="598"/>
      <c r="AB20" s="599"/>
      <c r="AC20" s="252"/>
      <c r="AD20" s="7" t="str">
        <f>IF(OR(ISERROR(Calculations!Y10),Calculations!C10=""),"",Calculations!Y10)</f>
        <v/>
      </c>
      <c r="AE20" s="134" t="str">
        <f>IF(OR(I20="",T20="",U20="",Q20=""),"",Calculations!BM10)</f>
        <v/>
      </c>
      <c r="AF20" s="275" t="str">
        <f t="shared" si="2"/>
        <v/>
      </c>
      <c r="AG20" s="275" t="str">
        <f t="shared" si="3"/>
        <v/>
      </c>
      <c r="AH20" s="623" t="str">
        <f t="shared" si="4"/>
        <v/>
      </c>
    </row>
    <row r="21" spans="1:34" ht="20.149999999999999" customHeight="1" x14ac:dyDescent="0.3">
      <c r="A21" s="3">
        <v>5</v>
      </c>
      <c r="B21" s="344"/>
      <c r="C21" s="344"/>
      <c r="D21" s="344" t="str">
        <f>IF(OR(B21="",C21="",IF(RIGHT(B21,18)&lt;&gt;"Climate Heat Pumps",E21="")),"",INDEX(References!$U$4:$U$44,MATCH(Calculations!$H11,References!$T$4:$T$44,0)))</f>
        <v/>
      </c>
      <c r="E21" s="344"/>
      <c r="F21" s="344"/>
      <c r="G21" s="344"/>
      <c r="H21" s="344"/>
      <c r="I21" s="344"/>
      <c r="J21" s="344"/>
      <c r="K21" s="344"/>
      <c r="L21" s="345"/>
      <c r="M21" s="345"/>
      <c r="N21" s="252"/>
      <c r="O21" s="283"/>
      <c r="P21" s="283"/>
      <c r="Q21" s="470" t="str">
        <f t="shared" si="0"/>
        <v/>
      </c>
      <c r="R21" s="471" t="str">
        <f t="shared" si="1"/>
        <v/>
      </c>
      <c r="S21" s="251"/>
      <c r="T21" s="344"/>
      <c r="U21" s="344"/>
      <c r="V21" s="764" t="str">
        <f>IF(OR(B21="",C21="",IF(RIGHT(B21,18)&lt;&gt;"Climate Heat Pumps",E21="")),"",INDEX(References!$V$4:$V$44,MATCH(Calculations!$H11,References!$T$4:$T$44,0)))</f>
        <v/>
      </c>
      <c r="W21" s="344"/>
      <c r="X21" s="345"/>
      <c r="Y21" s="344"/>
      <c r="Z21" s="598"/>
      <c r="AA21" s="598"/>
      <c r="AB21" s="599"/>
      <c r="AC21" s="252"/>
      <c r="AD21" s="7" t="str">
        <f>IF(OR(ISERROR(Calculations!Y11),Calculations!C11=""),"",Calculations!Y11)</f>
        <v/>
      </c>
      <c r="AE21" s="134" t="str">
        <f>IF(OR(I21="",T21="",U21="",Q21=""),"",Calculations!BM11)</f>
        <v/>
      </c>
      <c r="AF21" s="275" t="str">
        <f t="shared" si="2"/>
        <v/>
      </c>
      <c r="AG21" s="275" t="str">
        <f t="shared" si="3"/>
        <v/>
      </c>
      <c r="AH21" s="623" t="str">
        <f t="shared" si="4"/>
        <v/>
      </c>
    </row>
    <row r="22" spans="1:34" ht="20.149999999999999" customHeight="1" x14ac:dyDescent="0.3">
      <c r="A22" s="3">
        <v>6</v>
      </c>
      <c r="B22" s="344"/>
      <c r="C22" s="344"/>
      <c r="D22" s="344" t="str">
        <f>IF(OR(B22="",C22="",IF(RIGHT(B22,18)&lt;&gt;"Climate Heat Pumps",E22="")),"",INDEX(References!$U$4:$U$44,MATCH(Calculations!$H12,References!$T$4:$T$44,0)))</f>
        <v/>
      </c>
      <c r="E22" s="344"/>
      <c r="F22" s="344"/>
      <c r="G22" s="344"/>
      <c r="H22" s="344"/>
      <c r="I22" s="344"/>
      <c r="J22" s="344"/>
      <c r="K22" s="344"/>
      <c r="L22" s="345"/>
      <c r="M22" s="345"/>
      <c r="N22" s="252"/>
      <c r="O22" s="283"/>
      <c r="P22" s="283"/>
      <c r="Q22" s="470" t="str">
        <f t="shared" si="0"/>
        <v/>
      </c>
      <c r="R22" s="471" t="str">
        <f t="shared" si="1"/>
        <v/>
      </c>
      <c r="S22" s="251"/>
      <c r="T22" s="344"/>
      <c r="U22" s="344"/>
      <c r="V22" s="764" t="str">
        <f>IF(OR(B22="",C22="",IF(RIGHT(B22,18)&lt;&gt;"Climate Heat Pumps",E22="")),"",INDEX(References!$V$4:$V$44,MATCH(Calculations!$H12,References!$T$4:$T$44,0)))</f>
        <v/>
      </c>
      <c r="W22" s="344"/>
      <c r="X22" s="345"/>
      <c r="Y22" s="344"/>
      <c r="Z22" s="598"/>
      <c r="AA22" s="598"/>
      <c r="AB22" s="599"/>
      <c r="AC22" s="252"/>
      <c r="AD22" s="7" t="str">
        <f>IF(OR(ISERROR(Calculations!Y12),Calculations!C12=""),"",Calculations!Y12)</f>
        <v/>
      </c>
      <c r="AE22" s="134" t="str">
        <f>IF(OR(I22="",T22="",U22="",Q22=""),"",Calculations!BM12)</f>
        <v/>
      </c>
      <c r="AF22" s="275" t="str">
        <f t="shared" si="2"/>
        <v/>
      </c>
      <c r="AG22" s="275" t="str">
        <f t="shared" si="3"/>
        <v/>
      </c>
      <c r="AH22" s="623" t="str">
        <f t="shared" si="4"/>
        <v/>
      </c>
    </row>
    <row r="23" spans="1:34" ht="20.149999999999999" customHeight="1" x14ac:dyDescent="0.3">
      <c r="A23" s="3">
        <v>7</v>
      </c>
      <c r="B23" s="344"/>
      <c r="C23" s="344"/>
      <c r="D23" s="344" t="str">
        <f>IF(OR(B23="",C23="",IF(RIGHT(B23,18)&lt;&gt;"Climate Heat Pumps",E23="")),"",INDEX(References!$U$4:$U$44,MATCH(Calculations!$H13,References!$T$4:$T$44,0)))</f>
        <v/>
      </c>
      <c r="E23" s="344"/>
      <c r="F23" s="344"/>
      <c r="G23" s="344"/>
      <c r="H23" s="344"/>
      <c r="I23" s="344"/>
      <c r="J23" s="344"/>
      <c r="K23" s="344"/>
      <c r="L23" s="345"/>
      <c r="M23" s="345"/>
      <c r="N23" s="252"/>
      <c r="O23" s="283"/>
      <c r="P23" s="283"/>
      <c r="Q23" s="470" t="str">
        <f t="shared" si="0"/>
        <v/>
      </c>
      <c r="R23" s="471" t="str">
        <f t="shared" si="1"/>
        <v/>
      </c>
      <c r="S23" s="251"/>
      <c r="T23" s="344"/>
      <c r="U23" s="344"/>
      <c r="V23" s="764" t="str">
        <f>IF(OR(B23="",C23="",IF(RIGHT(B23,18)&lt;&gt;"Climate Heat Pumps",E23="")),"",INDEX(References!$V$4:$V$44,MATCH(Calculations!$H13,References!$T$4:$T$44,0)))</f>
        <v/>
      </c>
      <c r="W23" s="344"/>
      <c r="X23" s="345"/>
      <c r="Y23" s="344"/>
      <c r="Z23" s="598"/>
      <c r="AA23" s="598"/>
      <c r="AB23" s="599"/>
      <c r="AC23" s="252"/>
      <c r="AD23" s="7" t="str">
        <f>IF(OR(ISERROR(Calculations!Y13),Calculations!C13=""),"",Calculations!Y13)</f>
        <v/>
      </c>
      <c r="AE23" s="134" t="str">
        <f>IF(OR(I23="",T23="",U23="",Q23=""),"",Calculations!BM13)</f>
        <v/>
      </c>
      <c r="AF23" s="275" t="str">
        <f t="shared" si="2"/>
        <v/>
      </c>
      <c r="AG23" s="275" t="str">
        <f t="shared" si="3"/>
        <v/>
      </c>
      <c r="AH23" s="623" t="str">
        <f t="shared" si="4"/>
        <v/>
      </c>
    </row>
    <row r="24" spans="1:34" ht="20.149999999999999" customHeight="1" x14ac:dyDescent="0.3">
      <c r="A24" s="3">
        <v>8</v>
      </c>
      <c r="B24" s="344"/>
      <c r="C24" s="344"/>
      <c r="D24" s="344" t="str">
        <f>IF(OR(B24="",C24="",IF(RIGHT(B24,18)&lt;&gt;"Climate Heat Pumps",E24="")),"",INDEX(References!$U$4:$U$44,MATCH(Calculations!$H14,References!$T$4:$T$44,0)))</f>
        <v/>
      </c>
      <c r="E24" s="344"/>
      <c r="F24" s="344"/>
      <c r="G24" s="344"/>
      <c r="H24" s="344"/>
      <c r="I24" s="344"/>
      <c r="J24" s="344"/>
      <c r="K24" s="344"/>
      <c r="L24" s="345"/>
      <c r="M24" s="345"/>
      <c r="N24" s="252"/>
      <c r="O24" s="283"/>
      <c r="P24" s="283"/>
      <c r="Q24" s="470" t="str">
        <f t="shared" si="0"/>
        <v/>
      </c>
      <c r="R24" s="471" t="str">
        <f t="shared" si="1"/>
        <v/>
      </c>
      <c r="S24" s="251"/>
      <c r="T24" s="344"/>
      <c r="U24" s="344"/>
      <c r="V24" s="764" t="str">
        <f>IF(OR(B24="",C24="",IF(RIGHT(B24,18)&lt;&gt;"Climate Heat Pumps",E24="")),"",INDEX(References!$V$4:$V$44,MATCH(Calculations!$H14,References!$T$4:$T$44,0)))</f>
        <v/>
      </c>
      <c r="W24" s="344"/>
      <c r="X24" s="345"/>
      <c r="Y24" s="344"/>
      <c r="Z24" s="598"/>
      <c r="AA24" s="598"/>
      <c r="AB24" s="599"/>
      <c r="AC24" s="252"/>
      <c r="AD24" s="7" t="str">
        <f>IF(OR(ISERROR(Calculations!Y14),Calculations!C14=""),"",Calculations!Y14)</f>
        <v/>
      </c>
      <c r="AE24" s="134" t="str">
        <f>IF(OR(I24="",T24="",U24="",Q24=""),"",Calculations!BM14)</f>
        <v/>
      </c>
      <c r="AF24" s="275" t="str">
        <f t="shared" si="2"/>
        <v/>
      </c>
      <c r="AG24" s="275" t="str">
        <f t="shared" si="3"/>
        <v/>
      </c>
      <c r="AH24" s="623" t="str">
        <f t="shared" si="4"/>
        <v/>
      </c>
    </row>
    <row r="25" spans="1:34" ht="20.149999999999999" customHeight="1" x14ac:dyDescent="0.3">
      <c r="A25" s="3">
        <v>9</v>
      </c>
      <c r="B25" s="344"/>
      <c r="C25" s="344"/>
      <c r="D25" s="344" t="str">
        <f>IF(OR(B25="",C25="",IF(RIGHT(B25,18)&lt;&gt;"Climate Heat Pumps",E25="")),"",INDEX(References!$U$4:$U$44,MATCH(Calculations!$H15,References!$T$4:$T$44,0)))</f>
        <v/>
      </c>
      <c r="E25" s="344"/>
      <c r="F25" s="344"/>
      <c r="G25" s="344"/>
      <c r="H25" s="344"/>
      <c r="I25" s="344"/>
      <c r="J25" s="344"/>
      <c r="K25" s="344"/>
      <c r="L25" s="345"/>
      <c r="M25" s="345"/>
      <c r="N25" s="252"/>
      <c r="O25" s="283"/>
      <c r="P25" s="283"/>
      <c r="Q25" s="470" t="str">
        <f t="shared" si="0"/>
        <v/>
      </c>
      <c r="R25" s="471" t="str">
        <f t="shared" si="1"/>
        <v/>
      </c>
      <c r="S25" s="251"/>
      <c r="T25" s="344"/>
      <c r="U25" s="344"/>
      <c r="V25" s="764" t="str">
        <f>IF(OR(B25="",C25="",IF(RIGHT(B25,18)&lt;&gt;"Climate Heat Pumps",E25="")),"",INDEX(References!$V$4:$V$44,MATCH(Calculations!$H15,References!$T$4:$T$44,0)))</f>
        <v/>
      </c>
      <c r="W25" s="344"/>
      <c r="X25" s="345"/>
      <c r="Y25" s="344"/>
      <c r="Z25" s="598"/>
      <c r="AA25" s="598"/>
      <c r="AB25" s="599"/>
      <c r="AC25" s="252"/>
      <c r="AD25" s="7" t="str">
        <f>IF(OR(ISERROR(Calculations!Y15),Calculations!C15=""),"",Calculations!Y15)</f>
        <v/>
      </c>
      <c r="AE25" s="134" t="str">
        <f>IF(OR(I25="",T25="",U25="",Q25=""),"",Calculations!BM15)</f>
        <v/>
      </c>
      <c r="AF25" s="275" t="str">
        <f t="shared" si="2"/>
        <v/>
      </c>
      <c r="AG25" s="275" t="str">
        <f t="shared" si="3"/>
        <v/>
      </c>
      <c r="AH25" s="623" t="str">
        <f t="shared" si="4"/>
        <v/>
      </c>
    </row>
    <row r="26" spans="1:34" ht="20.149999999999999" customHeight="1" x14ac:dyDescent="0.3">
      <c r="A26" s="3">
        <v>10</v>
      </c>
      <c r="B26" s="344"/>
      <c r="C26" s="344"/>
      <c r="D26" s="344" t="str">
        <f>IF(OR(B26="",C26="",IF(RIGHT(B26,18)&lt;&gt;"Climate Heat Pumps",E26="")),"",INDEX(References!$U$4:$U$44,MATCH(Calculations!$H16,References!$T$4:$T$44,0)))</f>
        <v/>
      </c>
      <c r="E26" s="344"/>
      <c r="F26" s="344"/>
      <c r="G26" s="344"/>
      <c r="H26" s="344"/>
      <c r="I26" s="344"/>
      <c r="J26" s="344"/>
      <c r="K26" s="344"/>
      <c r="L26" s="345"/>
      <c r="M26" s="345"/>
      <c r="N26" s="252"/>
      <c r="O26" s="283"/>
      <c r="P26" s="283"/>
      <c r="Q26" s="470" t="str">
        <f t="shared" si="0"/>
        <v/>
      </c>
      <c r="R26" s="471" t="str">
        <f t="shared" si="1"/>
        <v/>
      </c>
      <c r="S26" s="251"/>
      <c r="T26" s="344"/>
      <c r="U26" s="344"/>
      <c r="V26" s="764" t="str">
        <f>IF(OR(B26="",C26="",IF(RIGHT(B26,18)&lt;&gt;"Climate Heat Pumps",E26="")),"",INDEX(References!$V$4:$V$44,MATCH(Calculations!$H16,References!$T$4:$T$44,0)))</f>
        <v/>
      </c>
      <c r="W26" s="344"/>
      <c r="X26" s="345"/>
      <c r="Y26" s="344"/>
      <c r="Z26" s="598"/>
      <c r="AA26" s="598"/>
      <c r="AB26" s="599"/>
      <c r="AC26" s="252"/>
      <c r="AD26" s="7" t="str">
        <f>IF(OR(ISERROR(Calculations!Y16),Calculations!C16=""),"",Calculations!Y16)</f>
        <v/>
      </c>
      <c r="AE26" s="134" t="str">
        <f>IF(OR(I26="",T26="",U26="",Q26=""),"",Calculations!BM16)</f>
        <v/>
      </c>
      <c r="AF26" s="275" t="str">
        <f t="shared" si="2"/>
        <v/>
      </c>
      <c r="AG26" s="275" t="str">
        <f t="shared" si="3"/>
        <v/>
      </c>
      <c r="AH26" s="623" t="str">
        <f t="shared" si="4"/>
        <v/>
      </c>
    </row>
    <row r="27" spans="1:34" ht="20.149999999999999" customHeight="1" x14ac:dyDescent="0.3">
      <c r="A27" s="3">
        <v>11</v>
      </c>
      <c r="B27" s="344"/>
      <c r="C27" s="344"/>
      <c r="D27" s="344" t="str">
        <f>IF(OR(B27="",C27="",IF(RIGHT(B27,18)&lt;&gt;"Climate Heat Pumps",E27="")),"",INDEX(References!$U$4:$U$44,MATCH(Calculations!$H17,References!$T$4:$T$44,0)))</f>
        <v/>
      </c>
      <c r="E27" s="344"/>
      <c r="F27" s="344"/>
      <c r="G27" s="344"/>
      <c r="H27" s="344"/>
      <c r="I27" s="344"/>
      <c r="J27" s="344"/>
      <c r="K27" s="344"/>
      <c r="L27" s="345"/>
      <c r="M27" s="345"/>
      <c r="N27" s="252"/>
      <c r="O27" s="283"/>
      <c r="P27" s="283"/>
      <c r="Q27" s="470" t="str">
        <f t="shared" si="0"/>
        <v/>
      </c>
      <c r="R27" s="471" t="str">
        <f t="shared" si="1"/>
        <v/>
      </c>
      <c r="S27" s="251"/>
      <c r="T27" s="344"/>
      <c r="U27" s="344"/>
      <c r="V27" s="764" t="str">
        <f>IF(OR(B27="",C27="",IF(RIGHT(B27,18)&lt;&gt;"Climate Heat Pumps",E27="")),"",INDEX(References!$V$4:$V$44,MATCH(Calculations!$H17,References!$T$4:$T$44,0)))</f>
        <v/>
      </c>
      <c r="W27" s="344"/>
      <c r="X27" s="345"/>
      <c r="Y27" s="344"/>
      <c r="Z27" s="598"/>
      <c r="AA27" s="598"/>
      <c r="AB27" s="599"/>
      <c r="AC27" s="252"/>
      <c r="AD27" s="7" t="str">
        <f>IF(OR(ISERROR(Calculations!Y17),Calculations!C17=""),"",Calculations!Y17)</f>
        <v/>
      </c>
      <c r="AE27" s="134" t="str">
        <f>IF(OR(I27="",T27="",U27="",Q27=""),"",Calculations!BM17)</f>
        <v/>
      </c>
      <c r="AF27" s="275" t="str">
        <f t="shared" si="2"/>
        <v/>
      </c>
      <c r="AG27" s="275" t="str">
        <f t="shared" si="3"/>
        <v/>
      </c>
      <c r="AH27" s="623" t="str">
        <f t="shared" si="4"/>
        <v/>
      </c>
    </row>
    <row r="28" spans="1:34" ht="20.149999999999999" customHeight="1" x14ac:dyDescent="0.3">
      <c r="A28" s="3">
        <v>12</v>
      </c>
      <c r="B28" s="344"/>
      <c r="C28" s="344"/>
      <c r="D28" s="344" t="str">
        <f>IF(OR(B28="",C28="",IF(RIGHT(B28,18)&lt;&gt;"Climate Heat Pumps",E28="")),"",INDEX(References!$U$4:$U$44,MATCH(Calculations!$H18,References!$T$4:$T$44,0)))</f>
        <v/>
      </c>
      <c r="E28" s="344"/>
      <c r="F28" s="344"/>
      <c r="G28" s="344"/>
      <c r="H28" s="344"/>
      <c r="I28" s="344"/>
      <c r="J28" s="344"/>
      <c r="K28" s="344"/>
      <c r="L28" s="345"/>
      <c r="M28" s="345"/>
      <c r="N28" s="252"/>
      <c r="O28" s="283"/>
      <c r="P28" s="283"/>
      <c r="Q28" s="470" t="str">
        <f t="shared" si="0"/>
        <v/>
      </c>
      <c r="R28" s="471" t="str">
        <f t="shared" si="1"/>
        <v/>
      </c>
      <c r="S28" s="251"/>
      <c r="T28" s="344"/>
      <c r="U28" s="344"/>
      <c r="V28" s="764" t="str">
        <f>IF(OR(B28="",C28="",IF(RIGHT(B28,18)&lt;&gt;"Climate Heat Pumps",E28="")),"",INDEX(References!$V$4:$V$44,MATCH(Calculations!$H18,References!$T$4:$T$44,0)))</f>
        <v/>
      </c>
      <c r="W28" s="344"/>
      <c r="X28" s="345"/>
      <c r="Y28" s="344"/>
      <c r="Z28" s="598"/>
      <c r="AA28" s="598"/>
      <c r="AB28" s="599"/>
      <c r="AC28" s="252"/>
      <c r="AD28" s="7" t="str">
        <f>IF(OR(ISERROR(Calculations!Y18),Calculations!C18=""),"",Calculations!Y18)</f>
        <v/>
      </c>
      <c r="AE28" s="134" t="str">
        <f>IF(OR(I28="",T28="",U28="",Q28=""),"",Calculations!BM18)</f>
        <v/>
      </c>
      <c r="AF28" s="275" t="str">
        <f t="shared" si="2"/>
        <v/>
      </c>
      <c r="AG28" s="275" t="str">
        <f t="shared" si="3"/>
        <v/>
      </c>
      <c r="AH28" s="623" t="str">
        <f t="shared" si="4"/>
        <v/>
      </c>
    </row>
    <row r="29" spans="1:34" ht="20.149999999999999" customHeight="1" x14ac:dyDescent="0.3">
      <c r="A29" s="3">
        <v>13</v>
      </c>
      <c r="B29" s="344"/>
      <c r="C29" s="344"/>
      <c r="D29" s="344" t="str">
        <f>IF(OR(B29="",C29="",IF(RIGHT(B29,18)&lt;&gt;"Climate Heat Pumps",E29="")),"",INDEX(References!$U$4:$U$44,MATCH(Calculations!$H19,References!$T$4:$T$44,0)))</f>
        <v/>
      </c>
      <c r="E29" s="344"/>
      <c r="F29" s="344"/>
      <c r="G29" s="344"/>
      <c r="H29" s="344"/>
      <c r="I29" s="344"/>
      <c r="J29" s="344"/>
      <c r="K29" s="344"/>
      <c r="L29" s="345"/>
      <c r="M29" s="345"/>
      <c r="N29" s="252"/>
      <c r="O29" s="283"/>
      <c r="P29" s="283"/>
      <c r="Q29" s="470" t="str">
        <f t="shared" si="0"/>
        <v/>
      </c>
      <c r="R29" s="471" t="str">
        <f t="shared" si="1"/>
        <v/>
      </c>
      <c r="S29" s="251"/>
      <c r="T29" s="344"/>
      <c r="U29" s="344"/>
      <c r="V29" s="764" t="str">
        <f>IF(OR(B29="",C29="",IF(RIGHT(B29,18)&lt;&gt;"Climate Heat Pumps",E29="")),"",INDEX(References!$V$4:$V$44,MATCH(Calculations!$H19,References!$T$4:$T$44,0)))</f>
        <v/>
      </c>
      <c r="W29" s="344"/>
      <c r="X29" s="345"/>
      <c r="Y29" s="344"/>
      <c r="Z29" s="598"/>
      <c r="AA29" s="598"/>
      <c r="AB29" s="599"/>
      <c r="AC29" s="252"/>
      <c r="AD29" s="7" t="str">
        <f>IF(OR(ISERROR(Calculations!Y19),Calculations!C19=""),"",Calculations!Y19)</f>
        <v/>
      </c>
      <c r="AE29" s="134" t="str">
        <f>IF(OR(I29="",T29="",U29="",Q29=""),"",Calculations!BM19)</f>
        <v/>
      </c>
      <c r="AF29" s="275" t="str">
        <f t="shared" si="2"/>
        <v/>
      </c>
      <c r="AG29" s="275" t="str">
        <f t="shared" si="3"/>
        <v/>
      </c>
      <c r="AH29" s="623" t="str">
        <f t="shared" si="4"/>
        <v/>
      </c>
    </row>
    <row r="30" spans="1:34" ht="20.149999999999999" customHeight="1" x14ac:dyDescent="0.3">
      <c r="A30" s="3">
        <v>14</v>
      </c>
      <c r="B30" s="344"/>
      <c r="C30" s="344"/>
      <c r="D30" s="344" t="str">
        <f>IF(OR(B30="",C30="",IF(RIGHT(B30,18)&lt;&gt;"Climate Heat Pumps",E30="")),"",INDEX(References!$U$4:$U$44,MATCH(Calculations!$H20,References!$T$4:$T$44,0)))</f>
        <v/>
      </c>
      <c r="E30" s="344"/>
      <c r="F30" s="344"/>
      <c r="G30" s="344"/>
      <c r="H30" s="344"/>
      <c r="I30" s="344"/>
      <c r="J30" s="344"/>
      <c r="K30" s="344"/>
      <c r="L30" s="345"/>
      <c r="M30" s="345"/>
      <c r="N30" s="252"/>
      <c r="O30" s="283"/>
      <c r="P30" s="283"/>
      <c r="Q30" s="470" t="str">
        <f t="shared" si="0"/>
        <v/>
      </c>
      <c r="R30" s="471" t="str">
        <f t="shared" si="1"/>
        <v/>
      </c>
      <c r="S30" s="251"/>
      <c r="T30" s="344"/>
      <c r="U30" s="344"/>
      <c r="V30" s="764" t="str">
        <f>IF(OR(B30="",C30="",IF(RIGHT(B30,18)&lt;&gt;"Climate Heat Pumps",E30="")),"",INDEX(References!$V$4:$V$44,MATCH(Calculations!$H20,References!$T$4:$T$44,0)))</f>
        <v/>
      </c>
      <c r="W30" s="344"/>
      <c r="X30" s="345"/>
      <c r="Y30" s="344"/>
      <c r="Z30" s="598"/>
      <c r="AA30" s="598"/>
      <c r="AB30" s="599"/>
      <c r="AC30" s="252"/>
      <c r="AD30" s="7" t="str">
        <f>IF(OR(ISERROR(Calculations!Y20),Calculations!C20=""),"",Calculations!Y20)</f>
        <v/>
      </c>
      <c r="AE30" s="134" t="str">
        <f>IF(OR(I30="",T30="",U30="",Q30=""),"",Calculations!BM20)</f>
        <v/>
      </c>
      <c r="AF30" s="275" t="str">
        <f t="shared" si="2"/>
        <v/>
      </c>
      <c r="AG30" s="275" t="str">
        <f t="shared" si="3"/>
        <v/>
      </c>
      <c r="AH30" s="623" t="str">
        <f t="shared" si="4"/>
        <v/>
      </c>
    </row>
    <row r="31" spans="1:34" ht="20.149999999999999" customHeight="1" x14ac:dyDescent="0.3">
      <c r="A31" s="3">
        <v>15</v>
      </c>
      <c r="B31" s="344"/>
      <c r="C31" s="344"/>
      <c r="D31" s="344" t="str">
        <f>IF(OR(B31="",C31="",IF(RIGHT(B31,18)&lt;&gt;"Climate Heat Pumps",E31="")),"",INDEX(References!$U$4:$U$44,MATCH(Calculations!$H21,References!$T$4:$T$44,0)))</f>
        <v/>
      </c>
      <c r="E31" s="344"/>
      <c r="F31" s="344"/>
      <c r="G31" s="344"/>
      <c r="H31" s="344"/>
      <c r="I31" s="344"/>
      <c r="J31" s="344"/>
      <c r="K31" s="344"/>
      <c r="L31" s="345"/>
      <c r="M31" s="345"/>
      <c r="N31" s="252"/>
      <c r="O31" s="283"/>
      <c r="P31" s="283"/>
      <c r="Q31" s="470" t="str">
        <f t="shared" si="0"/>
        <v/>
      </c>
      <c r="R31" s="471" t="str">
        <f t="shared" si="1"/>
        <v/>
      </c>
      <c r="S31" s="251"/>
      <c r="T31" s="344"/>
      <c r="U31" s="344"/>
      <c r="V31" s="764" t="str">
        <f>IF(OR(B31="",C31="",IF(RIGHT(B31,18)&lt;&gt;"Climate Heat Pumps",E31="")),"",INDEX(References!$V$4:$V$44,MATCH(Calculations!$H21,References!$T$4:$T$44,0)))</f>
        <v/>
      </c>
      <c r="W31" s="344"/>
      <c r="X31" s="345"/>
      <c r="Y31" s="344"/>
      <c r="Z31" s="598"/>
      <c r="AA31" s="598"/>
      <c r="AB31" s="599"/>
      <c r="AC31" s="252"/>
      <c r="AD31" s="7" t="str">
        <f>IF(OR(ISERROR(Calculations!Y21),Calculations!C21=""),"",Calculations!Y21)</f>
        <v/>
      </c>
      <c r="AE31" s="134" t="str">
        <f>IF(OR(I31="",T31="",U31="",Q31=""),"",Calculations!BM21)</f>
        <v/>
      </c>
      <c r="AF31" s="275" t="str">
        <f t="shared" si="2"/>
        <v/>
      </c>
      <c r="AG31" s="275" t="str">
        <f t="shared" si="3"/>
        <v/>
      </c>
      <c r="AH31" s="623" t="str">
        <f t="shared" si="4"/>
        <v/>
      </c>
    </row>
    <row r="32" spans="1:34" ht="20.149999999999999" customHeight="1" x14ac:dyDescent="0.3">
      <c r="A32" s="3">
        <v>16</v>
      </c>
      <c r="B32" s="344"/>
      <c r="C32" s="344"/>
      <c r="D32" s="344" t="str">
        <f>IF(OR(B32="",C32="",IF(RIGHT(B32,18)&lt;&gt;"Climate Heat Pumps",E32="")),"",INDEX(References!$U$4:$U$44,MATCH(Calculations!$H22,References!$T$4:$T$44,0)))</f>
        <v/>
      </c>
      <c r="E32" s="344"/>
      <c r="F32" s="344"/>
      <c r="G32" s="344"/>
      <c r="H32" s="344"/>
      <c r="I32" s="344"/>
      <c r="J32" s="344"/>
      <c r="K32" s="344"/>
      <c r="L32" s="345"/>
      <c r="M32" s="345"/>
      <c r="N32" s="252"/>
      <c r="O32" s="283"/>
      <c r="P32" s="283"/>
      <c r="Q32" s="470" t="str">
        <f t="shared" si="0"/>
        <v/>
      </c>
      <c r="R32" s="471" t="str">
        <f t="shared" si="1"/>
        <v/>
      </c>
      <c r="S32" s="251"/>
      <c r="T32" s="344"/>
      <c r="U32" s="344"/>
      <c r="V32" s="764" t="str">
        <f>IF(OR(B32="",C32="",IF(RIGHT(B32,18)&lt;&gt;"Climate Heat Pumps",E32="")),"",INDEX(References!$V$4:$V$44,MATCH(Calculations!$H22,References!$T$4:$T$44,0)))</f>
        <v/>
      </c>
      <c r="W32" s="344"/>
      <c r="X32" s="345"/>
      <c r="Y32" s="344"/>
      <c r="Z32" s="598"/>
      <c r="AA32" s="598"/>
      <c r="AB32" s="599"/>
      <c r="AC32" s="252"/>
      <c r="AD32" s="7" t="str">
        <f>IF(OR(ISERROR(Calculations!Y22),Calculations!C22=""),"",Calculations!Y22)</f>
        <v/>
      </c>
      <c r="AE32" s="134" t="str">
        <f>IF(OR(I32="",T32="",U32="",Q32=""),"",Calculations!BM22)</f>
        <v/>
      </c>
      <c r="AF32" s="275" t="str">
        <f t="shared" si="2"/>
        <v/>
      </c>
      <c r="AG32" s="275" t="str">
        <f t="shared" si="3"/>
        <v/>
      </c>
      <c r="AH32" s="623" t="str">
        <f t="shared" si="4"/>
        <v/>
      </c>
    </row>
    <row r="33" spans="1:34" ht="20.149999999999999" customHeight="1" x14ac:dyDescent="0.3">
      <c r="A33" s="3">
        <v>17</v>
      </c>
      <c r="B33" s="344"/>
      <c r="C33" s="344"/>
      <c r="D33" s="344" t="str">
        <f>IF(OR(B33="",C33="",IF(RIGHT(B33,18)&lt;&gt;"Climate Heat Pumps",E33="")),"",INDEX(References!$U$4:$U$44,MATCH(Calculations!$H23,References!$T$4:$T$44,0)))</f>
        <v/>
      </c>
      <c r="E33" s="344"/>
      <c r="F33" s="344"/>
      <c r="G33" s="344"/>
      <c r="H33" s="344"/>
      <c r="I33" s="344"/>
      <c r="J33" s="344"/>
      <c r="K33" s="344"/>
      <c r="L33" s="345"/>
      <c r="M33" s="345"/>
      <c r="N33" s="252"/>
      <c r="O33" s="283"/>
      <c r="P33" s="283"/>
      <c r="Q33" s="470" t="str">
        <f t="shared" si="0"/>
        <v/>
      </c>
      <c r="R33" s="471" t="str">
        <f t="shared" si="1"/>
        <v/>
      </c>
      <c r="S33" s="251"/>
      <c r="T33" s="344"/>
      <c r="U33" s="344"/>
      <c r="V33" s="764" t="str">
        <f>IF(OR(B33="",C33="",IF(RIGHT(B33,18)&lt;&gt;"Climate Heat Pumps",E33="")),"",INDEX(References!$V$4:$V$44,MATCH(Calculations!$H23,References!$T$4:$T$44,0)))</f>
        <v/>
      </c>
      <c r="W33" s="344"/>
      <c r="X33" s="345"/>
      <c r="Y33" s="344"/>
      <c r="Z33" s="598"/>
      <c r="AA33" s="598"/>
      <c r="AB33" s="599"/>
      <c r="AC33" s="252"/>
      <c r="AD33" s="7" t="str">
        <f>IF(OR(ISERROR(Calculations!Y23),Calculations!C23=""),"",Calculations!Y23)</f>
        <v/>
      </c>
      <c r="AE33" s="134" t="str">
        <f>IF(OR(I33="",T33="",U33="",Q33=""),"",Calculations!BM23)</f>
        <v/>
      </c>
      <c r="AF33" s="275" t="str">
        <f t="shared" si="2"/>
        <v/>
      </c>
      <c r="AG33" s="275" t="str">
        <f t="shared" si="3"/>
        <v/>
      </c>
      <c r="AH33" s="623" t="str">
        <f t="shared" si="4"/>
        <v/>
      </c>
    </row>
    <row r="34" spans="1:34" ht="20.149999999999999" customHeight="1" x14ac:dyDescent="0.3">
      <c r="A34" s="3">
        <v>18</v>
      </c>
      <c r="B34" s="344"/>
      <c r="C34" s="344"/>
      <c r="D34" s="344" t="str">
        <f>IF(OR(B34="",C34="",IF(RIGHT(B34,18)&lt;&gt;"Climate Heat Pumps",E34="")),"",INDEX(References!$U$4:$U$44,MATCH(Calculations!$H24,References!$T$4:$T$44,0)))</f>
        <v/>
      </c>
      <c r="E34" s="344"/>
      <c r="F34" s="344"/>
      <c r="G34" s="344"/>
      <c r="H34" s="344"/>
      <c r="I34" s="344"/>
      <c r="J34" s="344"/>
      <c r="K34" s="344"/>
      <c r="L34" s="345"/>
      <c r="M34" s="345"/>
      <c r="N34" s="252"/>
      <c r="O34" s="283"/>
      <c r="P34" s="283"/>
      <c r="Q34" s="470" t="str">
        <f t="shared" si="0"/>
        <v/>
      </c>
      <c r="R34" s="471" t="str">
        <f t="shared" si="1"/>
        <v/>
      </c>
      <c r="S34" s="251"/>
      <c r="T34" s="344"/>
      <c r="U34" s="344"/>
      <c r="V34" s="764" t="str">
        <f>IF(OR(B34="",C34="",IF(RIGHT(B34,18)&lt;&gt;"Climate Heat Pumps",E34="")),"",INDEX(References!$V$4:$V$44,MATCH(Calculations!$H24,References!$T$4:$T$44,0)))</f>
        <v/>
      </c>
      <c r="W34" s="344"/>
      <c r="X34" s="345"/>
      <c r="Y34" s="344"/>
      <c r="Z34" s="598"/>
      <c r="AA34" s="598"/>
      <c r="AB34" s="599"/>
      <c r="AC34" s="252"/>
      <c r="AD34" s="7" t="str">
        <f>IF(OR(ISERROR(Calculations!Y24),Calculations!C24=""),"",Calculations!Y24)</f>
        <v/>
      </c>
      <c r="AE34" s="134" t="str">
        <f>IF(OR(I34="",T34="",U34="",Q34=""),"",Calculations!BM24)</f>
        <v/>
      </c>
      <c r="AF34" s="275" t="str">
        <f t="shared" si="2"/>
        <v/>
      </c>
      <c r="AG34" s="275" t="str">
        <f t="shared" si="3"/>
        <v/>
      </c>
      <c r="AH34" s="623" t="str">
        <f t="shared" si="4"/>
        <v/>
      </c>
    </row>
    <row r="35" spans="1:34" ht="20.149999999999999" customHeight="1" x14ac:dyDescent="0.3">
      <c r="A35" s="3">
        <v>19</v>
      </c>
      <c r="B35" s="344"/>
      <c r="C35" s="344"/>
      <c r="D35" s="344" t="str">
        <f>IF(OR(B35="",C35="",IF(RIGHT(B35,18)&lt;&gt;"Climate Heat Pumps",E35="")),"",INDEX(References!$U$4:$U$44,MATCH(Calculations!$H25,References!$T$4:$T$44,0)))</f>
        <v/>
      </c>
      <c r="E35" s="344"/>
      <c r="F35" s="344"/>
      <c r="G35" s="344"/>
      <c r="H35" s="344"/>
      <c r="I35" s="344"/>
      <c r="J35" s="344"/>
      <c r="K35" s="344"/>
      <c r="L35" s="345"/>
      <c r="M35" s="345"/>
      <c r="N35" s="252"/>
      <c r="O35" s="283"/>
      <c r="P35" s="283"/>
      <c r="Q35" s="470" t="str">
        <f t="shared" si="0"/>
        <v/>
      </c>
      <c r="R35" s="471" t="str">
        <f t="shared" si="1"/>
        <v/>
      </c>
      <c r="S35" s="251"/>
      <c r="T35" s="344"/>
      <c r="U35" s="344"/>
      <c r="V35" s="764" t="str">
        <f>IF(OR(B35="",C35="",IF(RIGHT(B35,18)&lt;&gt;"Climate Heat Pumps",E35="")),"",INDEX(References!$V$4:$V$44,MATCH(Calculations!$H25,References!$T$4:$T$44,0)))</f>
        <v/>
      </c>
      <c r="W35" s="344"/>
      <c r="X35" s="345"/>
      <c r="Y35" s="344"/>
      <c r="Z35" s="598"/>
      <c r="AA35" s="598"/>
      <c r="AB35" s="599"/>
      <c r="AC35" s="252"/>
      <c r="AD35" s="7" t="str">
        <f>IF(OR(ISERROR(Calculations!Y25),Calculations!C25=""),"",Calculations!Y25)</f>
        <v/>
      </c>
      <c r="AE35" s="134" t="str">
        <f>IF(OR(I35="",T35="",U35="",Q35=""),"",Calculations!BM25)</f>
        <v/>
      </c>
      <c r="AF35" s="275" t="str">
        <f t="shared" si="2"/>
        <v/>
      </c>
      <c r="AG35" s="275" t="str">
        <f t="shared" si="3"/>
        <v/>
      </c>
      <c r="AH35" s="623" t="str">
        <f t="shared" si="4"/>
        <v/>
      </c>
    </row>
    <row r="36" spans="1:34" ht="20.149999999999999" customHeight="1" x14ac:dyDescent="0.3">
      <c r="A36" s="3">
        <v>20</v>
      </c>
      <c r="B36" s="344"/>
      <c r="C36" s="344"/>
      <c r="D36" s="344" t="str">
        <f>IF(OR(B36="",C36="",IF(RIGHT(B36,18)&lt;&gt;"Climate Heat Pumps",E36="")),"",INDEX(References!$U$4:$U$44,MATCH(Calculations!$H26,References!$T$4:$T$44,0)))</f>
        <v/>
      </c>
      <c r="E36" s="344"/>
      <c r="F36" s="344"/>
      <c r="G36" s="344"/>
      <c r="H36" s="344"/>
      <c r="I36" s="344"/>
      <c r="J36" s="344"/>
      <c r="K36" s="344"/>
      <c r="L36" s="345"/>
      <c r="M36" s="345"/>
      <c r="N36" s="252"/>
      <c r="O36" s="283"/>
      <c r="P36" s="283"/>
      <c r="Q36" s="470" t="str">
        <f t="shared" si="0"/>
        <v/>
      </c>
      <c r="R36" s="471" t="str">
        <f t="shared" si="1"/>
        <v/>
      </c>
      <c r="S36" s="251"/>
      <c r="T36" s="344"/>
      <c r="U36" s="344"/>
      <c r="V36" s="764" t="str">
        <f>IF(OR(B36="",C36="",IF(RIGHT(B36,18)&lt;&gt;"Climate Heat Pumps",E36="")),"",INDEX(References!$V$4:$V$44,MATCH(Calculations!$H26,References!$T$4:$T$44,0)))</f>
        <v/>
      </c>
      <c r="W36" s="344"/>
      <c r="X36" s="345"/>
      <c r="Y36" s="344"/>
      <c r="Z36" s="598"/>
      <c r="AA36" s="598"/>
      <c r="AB36" s="599"/>
      <c r="AC36" s="252"/>
      <c r="AD36" s="7" t="str">
        <f>IF(OR(ISERROR(Calculations!Y26),Calculations!C26=""),"",Calculations!Y26)</f>
        <v/>
      </c>
      <c r="AE36" s="134" t="str">
        <f>IF(OR(I36="",T36="",U36="",Q36=""),"",Calculations!BM26)</f>
        <v/>
      </c>
      <c r="AF36" s="275" t="str">
        <f t="shared" si="2"/>
        <v/>
      </c>
      <c r="AG36" s="275" t="str">
        <f t="shared" si="3"/>
        <v/>
      </c>
      <c r="AH36" s="623" t="str">
        <f t="shared" si="4"/>
        <v/>
      </c>
    </row>
    <row r="37" spans="1:34" ht="20.149999999999999" customHeight="1" x14ac:dyDescent="0.3">
      <c r="A37" s="3">
        <v>21</v>
      </c>
      <c r="B37" s="344"/>
      <c r="C37" s="344"/>
      <c r="D37" s="344" t="str">
        <f>IF(OR(B37="",C37="",IF(RIGHT(B37,18)&lt;&gt;"Climate Heat Pumps",E37="")),"",INDEX(References!$U$4:$U$44,MATCH(Calculations!$H27,References!$T$4:$T$44,0)))</f>
        <v/>
      </c>
      <c r="E37" s="344"/>
      <c r="F37" s="344"/>
      <c r="G37" s="344"/>
      <c r="H37" s="344"/>
      <c r="I37" s="344"/>
      <c r="J37" s="344"/>
      <c r="K37" s="344"/>
      <c r="L37" s="345"/>
      <c r="M37" s="345"/>
      <c r="N37" s="252"/>
      <c r="O37" s="283"/>
      <c r="P37" s="283"/>
      <c r="Q37" s="470" t="str">
        <f t="shared" si="0"/>
        <v/>
      </c>
      <c r="R37" s="471" t="str">
        <f t="shared" si="1"/>
        <v/>
      </c>
      <c r="S37" s="251"/>
      <c r="T37" s="344"/>
      <c r="U37" s="344"/>
      <c r="V37" s="764" t="str">
        <f>IF(OR(B37="",C37="",IF(RIGHT(B37,18)&lt;&gt;"Climate Heat Pumps",E37="")),"",INDEX(References!$V$4:$V$44,MATCH(Calculations!$H27,References!$T$4:$T$44,0)))</f>
        <v/>
      </c>
      <c r="W37" s="344"/>
      <c r="X37" s="345"/>
      <c r="Y37" s="344"/>
      <c r="Z37" s="598"/>
      <c r="AA37" s="598"/>
      <c r="AB37" s="599"/>
      <c r="AC37" s="252"/>
      <c r="AD37" s="7" t="str">
        <f>IF(OR(ISERROR(Calculations!Y27),Calculations!C27=""),"",Calculations!Y27)</f>
        <v/>
      </c>
      <c r="AE37" s="134" t="str">
        <f>IF(OR(I37="",T37="",U37="",Q37=""),"",Calculations!BM27)</f>
        <v/>
      </c>
      <c r="AF37" s="275" t="str">
        <f t="shared" si="2"/>
        <v/>
      </c>
      <c r="AG37" s="275" t="str">
        <f t="shared" si="3"/>
        <v/>
      </c>
      <c r="AH37" s="623" t="str">
        <f t="shared" si="4"/>
        <v/>
      </c>
    </row>
    <row r="38" spans="1:34" ht="20.149999999999999" customHeight="1" x14ac:dyDescent="0.3">
      <c r="A38" s="3">
        <v>22</v>
      </c>
      <c r="B38" s="344"/>
      <c r="C38" s="344"/>
      <c r="D38" s="344" t="str">
        <f>IF(OR(B38="",C38="",IF(RIGHT(B38,18)&lt;&gt;"Climate Heat Pumps",E38="")),"",INDEX(References!$U$4:$U$44,MATCH(Calculations!$H28,References!$T$4:$T$44,0)))</f>
        <v/>
      </c>
      <c r="E38" s="344"/>
      <c r="F38" s="344"/>
      <c r="G38" s="344"/>
      <c r="H38" s="344"/>
      <c r="I38" s="344"/>
      <c r="J38" s="344"/>
      <c r="K38" s="344"/>
      <c r="L38" s="345"/>
      <c r="M38" s="345"/>
      <c r="N38" s="252"/>
      <c r="O38" s="283"/>
      <c r="P38" s="283"/>
      <c r="Q38" s="470" t="str">
        <f t="shared" si="0"/>
        <v/>
      </c>
      <c r="R38" s="471" t="str">
        <f t="shared" si="1"/>
        <v/>
      </c>
      <c r="S38" s="251"/>
      <c r="T38" s="344"/>
      <c r="U38" s="344"/>
      <c r="V38" s="764" t="str">
        <f>IF(OR(B38="",C38="",IF(RIGHT(B38,18)&lt;&gt;"Climate Heat Pumps",E38="")),"",INDEX(References!$V$4:$V$44,MATCH(Calculations!$H28,References!$T$4:$T$44,0)))</f>
        <v/>
      </c>
      <c r="W38" s="344"/>
      <c r="X38" s="345"/>
      <c r="Y38" s="344"/>
      <c r="Z38" s="598"/>
      <c r="AA38" s="598"/>
      <c r="AB38" s="599"/>
      <c r="AC38" s="252"/>
      <c r="AD38" s="7" t="str">
        <f>IF(OR(ISERROR(Calculations!Y28),Calculations!C28=""),"",Calculations!Y28)</f>
        <v/>
      </c>
      <c r="AE38" s="134" t="str">
        <f>IF(OR(I38="",T38="",U38="",Q38=""),"",Calculations!BM28)</f>
        <v/>
      </c>
      <c r="AF38" s="275" t="str">
        <f t="shared" si="2"/>
        <v/>
      </c>
      <c r="AG38" s="275" t="str">
        <f t="shared" si="3"/>
        <v/>
      </c>
      <c r="AH38" s="623" t="str">
        <f t="shared" si="4"/>
        <v/>
      </c>
    </row>
    <row r="39" spans="1:34" ht="20.149999999999999" customHeight="1" x14ac:dyDescent="0.3">
      <c r="A39" s="3">
        <v>23</v>
      </c>
      <c r="B39" s="344"/>
      <c r="C39" s="344"/>
      <c r="D39" s="344" t="str">
        <f>IF(OR(B39="",C39="",IF(RIGHT(B39,18)&lt;&gt;"Climate Heat Pumps",E39="")),"",INDEX(References!$U$4:$U$44,MATCH(Calculations!$H29,References!$T$4:$T$44,0)))</f>
        <v/>
      </c>
      <c r="E39" s="344"/>
      <c r="F39" s="344"/>
      <c r="G39" s="344"/>
      <c r="H39" s="344"/>
      <c r="I39" s="344"/>
      <c r="J39" s="344"/>
      <c r="K39" s="344"/>
      <c r="L39" s="345"/>
      <c r="M39" s="345"/>
      <c r="N39" s="252"/>
      <c r="O39" s="283"/>
      <c r="P39" s="283"/>
      <c r="Q39" s="470" t="str">
        <f t="shared" si="0"/>
        <v/>
      </c>
      <c r="R39" s="471" t="str">
        <f t="shared" si="1"/>
        <v/>
      </c>
      <c r="S39" s="251"/>
      <c r="T39" s="344"/>
      <c r="U39" s="344"/>
      <c r="V39" s="764" t="str">
        <f>IF(OR(B39="",C39="",IF(RIGHT(B39,18)&lt;&gt;"Climate Heat Pumps",E39="")),"",INDEX(References!$V$4:$V$44,MATCH(Calculations!$H29,References!$T$4:$T$44,0)))</f>
        <v/>
      </c>
      <c r="W39" s="344"/>
      <c r="X39" s="345"/>
      <c r="Y39" s="344"/>
      <c r="Z39" s="598"/>
      <c r="AA39" s="598"/>
      <c r="AB39" s="599"/>
      <c r="AC39" s="252"/>
      <c r="AD39" s="7" t="str">
        <f>IF(OR(ISERROR(Calculations!Y29),Calculations!C29=""),"",Calculations!Y29)</f>
        <v/>
      </c>
      <c r="AE39" s="134" t="str">
        <f>IF(OR(I39="",T39="",U39="",Q39=""),"",Calculations!BM29)</f>
        <v/>
      </c>
      <c r="AF39" s="275" t="str">
        <f t="shared" si="2"/>
        <v/>
      </c>
      <c r="AG39" s="275" t="str">
        <f t="shared" si="3"/>
        <v/>
      </c>
      <c r="AH39" s="623" t="str">
        <f t="shared" si="4"/>
        <v/>
      </c>
    </row>
    <row r="40" spans="1:34" ht="20.149999999999999" customHeight="1" x14ac:dyDescent="0.3">
      <c r="A40" s="3">
        <v>24</v>
      </c>
      <c r="B40" s="344"/>
      <c r="C40" s="344"/>
      <c r="D40" s="344" t="str">
        <f>IF(OR(B40="",C40="",IF(RIGHT(B40,18)&lt;&gt;"Climate Heat Pumps",E40="")),"",INDEX(References!$U$4:$U$44,MATCH(Calculations!$H30,References!$T$4:$T$44,0)))</f>
        <v/>
      </c>
      <c r="E40" s="344"/>
      <c r="F40" s="344"/>
      <c r="G40" s="344"/>
      <c r="H40" s="344"/>
      <c r="I40" s="344"/>
      <c r="J40" s="344"/>
      <c r="K40" s="344"/>
      <c r="L40" s="345"/>
      <c r="M40" s="345"/>
      <c r="N40" s="252"/>
      <c r="O40" s="283"/>
      <c r="P40" s="283"/>
      <c r="Q40" s="470" t="str">
        <f t="shared" si="0"/>
        <v/>
      </c>
      <c r="R40" s="471" t="str">
        <f t="shared" si="1"/>
        <v/>
      </c>
      <c r="S40" s="251"/>
      <c r="T40" s="344"/>
      <c r="U40" s="344"/>
      <c r="V40" s="764" t="str">
        <f>IF(OR(B40="",C40="",IF(RIGHT(B40,18)&lt;&gt;"Climate Heat Pumps",E40="")),"",INDEX(References!$V$4:$V$44,MATCH(Calculations!$H30,References!$T$4:$T$44,0)))</f>
        <v/>
      </c>
      <c r="W40" s="344"/>
      <c r="X40" s="345"/>
      <c r="Y40" s="344"/>
      <c r="Z40" s="598"/>
      <c r="AA40" s="598"/>
      <c r="AB40" s="599"/>
      <c r="AC40" s="252"/>
      <c r="AD40" s="7" t="str">
        <f>IF(OR(ISERROR(Calculations!Y30),Calculations!C30=""),"",Calculations!Y30)</f>
        <v/>
      </c>
      <c r="AE40" s="134" t="str">
        <f>IF(OR(I40="",T40="",U40="",Q40=""),"",Calculations!BM30)</f>
        <v/>
      </c>
      <c r="AF40" s="275" t="str">
        <f t="shared" si="2"/>
        <v/>
      </c>
      <c r="AG40" s="275" t="str">
        <f t="shared" si="3"/>
        <v/>
      </c>
      <c r="AH40" s="623" t="str">
        <f t="shared" si="4"/>
        <v/>
      </c>
    </row>
    <row r="41" spans="1:34" ht="20.149999999999999" customHeight="1" x14ac:dyDescent="0.3">
      <c r="A41" s="3">
        <v>25</v>
      </c>
      <c r="B41" s="344"/>
      <c r="C41" s="344"/>
      <c r="D41" s="344" t="str">
        <f>IF(OR(B41="",C41="",IF(RIGHT(B41,18)&lt;&gt;"Climate Heat Pumps",E41="")),"",INDEX(References!$U$4:$U$44,MATCH(Calculations!$H31,References!$T$4:$T$44,0)))</f>
        <v/>
      </c>
      <c r="E41" s="344"/>
      <c r="F41" s="344"/>
      <c r="G41" s="344"/>
      <c r="H41" s="344"/>
      <c r="I41" s="344"/>
      <c r="J41" s="344"/>
      <c r="K41" s="344"/>
      <c r="L41" s="345"/>
      <c r="M41" s="345"/>
      <c r="N41" s="252"/>
      <c r="O41" s="283"/>
      <c r="P41" s="283"/>
      <c r="Q41" s="470" t="str">
        <f t="shared" si="0"/>
        <v/>
      </c>
      <c r="R41" s="471" t="str">
        <f t="shared" si="1"/>
        <v/>
      </c>
      <c r="S41" s="251"/>
      <c r="T41" s="344"/>
      <c r="U41" s="344"/>
      <c r="V41" s="764" t="str">
        <f>IF(OR(B41="",C41="",IF(RIGHT(B41,18)&lt;&gt;"Climate Heat Pumps",E41="")),"",INDEX(References!$V$4:$V$44,MATCH(Calculations!$H31,References!$T$4:$T$44,0)))</f>
        <v/>
      </c>
      <c r="W41" s="344"/>
      <c r="X41" s="345"/>
      <c r="Y41" s="344"/>
      <c r="Z41" s="598"/>
      <c r="AA41" s="598"/>
      <c r="AB41" s="599"/>
      <c r="AC41" s="252"/>
      <c r="AD41" s="7" t="str">
        <f>IF(OR(ISERROR(Calculations!Y31),Calculations!C31=""),"",Calculations!Y31)</f>
        <v/>
      </c>
      <c r="AE41" s="134" t="str">
        <f>IF(OR(I41="",T41="",U41="",Q41=""),"",Calculations!BM31)</f>
        <v/>
      </c>
      <c r="AF41" s="275" t="str">
        <f t="shared" si="2"/>
        <v/>
      </c>
      <c r="AG41" s="275" t="str">
        <f t="shared" si="3"/>
        <v/>
      </c>
      <c r="AH41" s="623" t="str">
        <f t="shared" si="4"/>
        <v/>
      </c>
    </row>
    <row r="42" spans="1:34" x14ac:dyDescent="0.3">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row>
    <row r="43" spans="1:34" x14ac:dyDescent="0.3">
      <c r="A43" s="300"/>
      <c r="B43" s="379" t="s">
        <v>894</v>
      </c>
      <c r="C43" s="380" t="str">
        <f>Development!$B$6&amp;"_"&amp;Development!$B$5</f>
        <v>1.22.2024_2.0</v>
      </c>
      <c r="D43" s="38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1" t="s">
        <v>895</v>
      </c>
      <c r="AE43" s="382" t="str">
        <f>Development!B6</f>
        <v>1.22.2024</v>
      </c>
    </row>
  </sheetData>
  <sheetProtection algorithmName="SHA-512" hashValue="/0I3E2rtCvCveJZOrFsceXPtbAc6J7GCKkh93K3Aqs2TeWIdsd+RVtCv11Tnhipce+ogDdxpVy628Fb0kkbpnA==" saltValue="Wfc0epAhwa7W7WFZE221BQ==" spinCount="100000" sheet="1" objects="1" scenarios="1"/>
  <dataConsolidate link="1"/>
  <customSheetViews>
    <customSheetView guid="{BE55F258-44BC-4FB6-88BE-39351DF10384}" scale="73" showGridLines="0" fitToPage="1" hiddenRows="1" hiddenColumns="1">
      <selection activeCell="F32" sqref="F32"/>
      <pageMargins left="0.7" right="0.7" top="0.75" bottom="0.75" header="0.3" footer="0.3"/>
      <pageSetup paperSize="5" scale="76" fitToHeight="3" orientation="landscape" r:id="rId1"/>
    </customSheetView>
  </customSheetViews>
  <mergeCells count="18">
    <mergeCell ref="AD5:AE6"/>
    <mergeCell ref="B2:H2"/>
    <mergeCell ref="B3:H3"/>
    <mergeCell ref="O14:Q14"/>
    <mergeCell ref="G8:H8"/>
    <mergeCell ref="G7:H7"/>
    <mergeCell ref="AD14:AE14"/>
    <mergeCell ref="G9:H9"/>
    <mergeCell ref="G10:H10"/>
    <mergeCell ref="G11:H11"/>
    <mergeCell ref="B14:M14"/>
    <mergeCell ref="C9:E9"/>
    <mergeCell ref="C12:E12"/>
    <mergeCell ref="C10:E10"/>
    <mergeCell ref="T14:AB14"/>
    <mergeCell ref="C11:E11"/>
    <mergeCell ref="C7:E7"/>
    <mergeCell ref="C8:E8"/>
  </mergeCells>
  <phoneticPr fontId="107" type="noConversion"/>
  <conditionalFormatting sqref="J17:J41">
    <cfRule type="expression" dxfId="40" priority="7" stopIfTrue="1">
      <formula>$D17=2</formula>
    </cfRule>
    <cfRule type="expression" dxfId="39" priority="8" stopIfTrue="1">
      <formula>$D17=5</formula>
    </cfRule>
  </conditionalFormatting>
  <conditionalFormatting sqref="L17:L41">
    <cfRule type="expression" dxfId="38" priority="29" stopIfTrue="1">
      <formula>$D17=4</formula>
    </cfRule>
  </conditionalFormatting>
  <conditionalFormatting sqref="L17:M41">
    <cfRule type="expression" dxfId="37" priority="22" stopIfTrue="1">
      <formula>$D17=""</formula>
    </cfRule>
  </conditionalFormatting>
  <conditionalFormatting sqref="M17:M41">
    <cfRule type="expression" dxfId="36" priority="23" stopIfTrue="1">
      <formula>$D17=5</formula>
    </cfRule>
    <cfRule type="expression" dxfId="35" priority="24" stopIfTrue="1">
      <formula>$D17=3</formula>
    </cfRule>
  </conditionalFormatting>
  <conditionalFormatting sqref="X17:X41">
    <cfRule type="expression" dxfId="34" priority="17" stopIfTrue="1">
      <formula>OR($V17=1,$V17=3,$V17=6)</formula>
    </cfRule>
    <cfRule type="expression" dxfId="33" priority="20" stopIfTrue="1">
      <formula>$D17=""</formula>
    </cfRule>
  </conditionalFormatting>
  <conditionalFormatting sqref="Z17:Z41">
    <cfRule type="expression" dxfId="32" priority="3" stopIfTrue="1">
      <formula>AND(OR($V17=3,$V17=4,$V17=6),OR($U17="Electric",$U17="Other"))</formula>
    </cfRule>
  </conditionalFormatting>
  <conditionalFormatting sqref="Z17:AB41">
    <cfRule type="expression" dxfId="31" priority="10" stopIfTrue="1">
      <formula>$D17=""</formula>
    </cfRule>
  </conditionalFormatting>
  <conditionalFormatting sqref="AA17:AA41">
    <cfRule type="expression" dxfId="30" priority="1">
      <formula>OR($U17="Other",$U17="Electric")</formula>
    </cfRule>
  </conditionalFormatting>
  <conditionalFormatting sqref="AB17:AB41">
    <cfRule type="expression" dxfId="29" priority="6" stopIfTrue="1">
      <formula>AND($U17&lt;&gt;"Electric",$U17&lt;&gt;"None")</formula>
    </cfRule>
  </conditionalFormatting>
  <conditionalFormatting sqref="AD5 AF5:AF6">
    <cfRule type="expression" dxfId="28" priority="96" stopIfTrue="1">
      <formula>$AG$5="Total Expected Rebate has been capped at 70% of Total Estimated Cost"</formula>
    </cfRule>
  </conditionalFormatting>
  <conditionalFormatting sqref="AD5">
    <cfRule type="expression" dxfId="27" priority="97" stopIfTrue="1">
      <formula>$AH$10="Ineligible"</formula>
    </cfRule>
  </conditionalFormatting>
  <conditionalFormatting sqref="AE17:AE41">
    <cfRule type="expression" dxfId="26" priority="101" stopIfTrue="1">
      <formula>$Q17=""</formula>
    </cfRule>
  </conditionalFormatting>
  <dataValidations count="8">
    <dataValidation type="list" allowBlank="1" showInputMessage="1" showErrorMessage="1" sqref="E17:E41" xr:uid="{00000000-0002-0000-0600-000000000000}">
      <formula1>OFFSET(Start_SubCategory,0,MATCH(B17,SubCategory,0)-1,4)</formula1>
    </dataValidation>
    <dataValidation type="decimal" allowBlank="1" showInputMessage="1" showErrorMessage="1" sqref="K16 Y17:Y41" xr:uid="{00000000-0002-0000-0600-000001000000}">
      <formula1>0</formula1>
      <formula2>15</formula2>
    </dataValidation>
    <dataValidation type="decimal" allowBlank="1" showInputMessage="1" showErrorMessage="1" sqref="X17:X41 J16:J41" xr:uid="{00000000-0002-0000-0600-000002000000}">
      <formula1>0</formula1>
      <formula2>30</formula2>
    </dataValidation>
    <dataValidation operator="greaterThanOrEqual" allowBlank="1" showInputMessage="1" showErrorMessage="1" sqref="Q17:R41 AD16:AD41 T16:U16" xr:uid="{00000000-0002-0000-0600-000004000000}"/>
    <dataValidation type="decimal" operator="greaterThanOrEqual" allowBlank="1" showInputMessage="1" showErrorMessage="1" sqref="Z16:AC41 S16:S41 Q16:R16 H16 V16:Y16 I16:I41 L16:P41" xr:uid="{00000000-0002-0000-0600-000005000000}">
      <formula1>0</formula1>
    </dataValidation>
    <dataValidation type="decimal" allowBlank="1" showInputMessage="1" showErrorMessage="1" sqref="K17:K41" xr:uid="{00000000-0002-0000-0600-000006000000}">
      <formula1>0</formula1>
      <formula2>35</formula2>
    </dataValidation>
    <dataValidation type="list" operator="greaterThanOrEqual" allowBlank="1" showInputMessage="1" showErrorMessage="1" sqref="T17:T41" xr:uid="{00000000-0002-0000-0600-000008000000}">
      <formula1>OFFSET(Start_ExistingUnitType,MATCH(B17&amp;" "&amp;C17&amp;" "&amp;E17,ExistingUnitType,0)-1,0,1,6)</formula1>
    </dataValidation>
    <dataValidation type="list" allowBlank="1" showInputMessage="1" showErrorMessage="1" sqref="C17:C41" xr:uid="{00000000-0002-0000-0600-000009000000}">
      <formula1>OFFSET(Start_SizeCategory,0,MATCH(B17,SizeCategory,0)-1,5)</formula1>
    </dataValidation>
  </dataValidations>
  <pageMargins left="0.7" right="0.7" top="0.75" bottom="0.75" header="0.3" footer="0.3"/>
  <pageSetup paperSize="5" scale="41"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889" r:id="rId5" name="Group Box 649">
              <controlPr defaultSize="0" autoFill="0" autoPict="0">
                <anchor moveWithCells="1">
                  <from>
                    <xdr:col>19</xdr:col>
                    <xdr:colOff>0</xdr:colOff>
                    <xdr:row>4</xdr:row>
                    <xdr:rowOff>660400</xdr:rowOff>
                  </from>
                  <to>
                    <xdr:col>22</xdr:col>
                    <xdr:colOff>508000</xdr:colOff>
                    <xdr:row>10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operator="greaterThanOrEqual" allowBlank="1" showInputMessage="1" showErrorMessage="1" xr:uid="{00000000-0002-0000-0600-00000B000000}">
          <x14:formula1>
            <xm:f>References!$B$11:$B$17</xm:f>
          </x14:formula1>
          <xm:sqref>U17:U41</xm:sqref>
        </x14:dataValidation>
        <x14:dataValidation type="decimal" allowBlank="1" showInputMessage="1" showErrorMessage="1" error="Please enter a valid Size for the Size Category selected." xr:uid="{BC621DAC-A0C2-4B37-90B3-8BEEC1747E1E}">
          <x14:formula1>
            <xm:f>INDEX(References!$K$21:$M$32,MATCH($C17,References!$K$21:$K$32,0),2)</xm:f>
          </x14:formula1>
          <x14:formula2>
            <xm:f>INDEX(References!$K$21:$M$32,MATCH($C17,References!$K$21:$K$32,0),3)</xm:f>
          </x14:formula2>
          <xm:sqref>H17:H41</xm:sqref>
        </x14:dataValidation>
        <x14:dataValidation type="list" allowBlank="1" showInputMessage="1" showErrorMessage="1" xr:uid="{15C05A50-EFF8-47C4-9AEB-B7DFD8329BAF}">
          <x14:formula1>
            <xm:f>References!$D$21:$D$32</xm:f>
          </x14:formula1>
          <xm:sqref>B17:B41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AA2F-7703-4112-8AB1-69121810066D}">
  <sheetPr codeName="Sheet20">
    <tabColor rgb="FF142D42"/>
    <pageSetUpPr fitToPage="1"/>
  </sheetPr>
  <dimension ref="A1:AI47"/>
  <sheetViews>
    <sheetView showGridLines="0" zoomScaleNormal="100" workbookViewId="0"/>
  </sheetViews>
  <sheetFormatPr defaultColWidth="0" defaultRowHeight="14" x14ac:dyDescent="0.3"/>
  <cols>
    <col min="1" max="1" width="3.54296875" style="2" customWidth="1"/>
    <col min="2" max="2" width="38.81640625" style="2" bestFit="1" customWidth="1"/>
    <col min="3" max="3" width="26.1796875" style="2" bestFit="1" customWidth="1"/>
    <col min="4" max="4" width="10.453125" style="2" hidden="1" customWidth="1"/>
    <col min="5" max="5" width="19.453125" style="2" bestFit="1" customWidth="1"/>
    <col min="6" max="6" width="23.54296875" style="2" customWidth="1"/>
    <col min="7" max="7" width="20.26953125" style="2" customWidth="1"/>
    <col min="8" max="8" width="30.26953125" style="2" customWidth="1"/>
    <col min="9" max="9" width="10.54296875" style="2" customWidth="1"/>
    <col min="10" max="10" width="5.453125" style="2" customWidth="1"/>
    <col min="11" max="11" width="14.453125" style="2" customWidth="1"/>
    <col min="12" max="12" width="14.81640625" style="2" customWidth="1"/>
    <col min="13" max="13" width="12.54296875" style="2" customWidth="1"/>
    <col min="14" max="14" width="8.81640625" style="2" customWidth="1"/>
    <col min="15" max="15" width="38.453125" style="2" customWidth="1"/>
    <col min="16" max="16" width="16.453125" style="2" customWidth="1"/>
    <col min="17" max="17" width="24.26953125" style="2" customWidth="1"/>
    <col min="18" max="18" width="13.26953125" style="2" customWidth="1"/>
    <col min="19" max="19" width="11.81640625" style="2" customWidth="1"/>
    <col min="20" max="20" width="15.81640625" style="2" customWidth="1"/>
    <col min="21" max="21" width="21.81640625" style="2" customWidth="1"/>
    <col min="22" max="22" width="12.7265625" style="2" customWidth="1"/>
    <col min="23" max="23" width="16.1796875" style="2" customWidth="1"/>
    <col min="24" max="24" width="4.54296875" style="2" customWidth="1"/>
    <col min="25" max="25" width="9.1796875" style="2" customWidth="1"/>
    <col min="26" max="26" width="4.1796875" style="2" customWidth="1"/>
    <col min="27" max="29" width="10.54296875" style="2" hidden="1" customWidth="1"/>
    <col min="30" max="30" width="8.54296875" style="2" hidden="1" customWidth="1"/>
    <col min="31" max="31" width="2.54296875" style="2" hidden="1" customWidth="1"/>
    <col min="32" max="32" width="25.7265625" style="2" hidden="1" customWidth="1"/>
    <col min="33" max="33" width="21" style="2" hidden="1" customWidth="1"/>
    <col min="34" max="34" width="9" style="2" hidden="1" customWidth="1"/>
    <col min="35" max="35" width="11.453125" style="2" hidden="1" customWidth="1"/>
    <col min="36" max="16384" width="16.54296875" style="2" hidden="1"/>
  </cols>
  <sheetData>
    <row r="1" spans="1:35" s="630" customFormat="1" x14ac:dyDescent="0.3">
      <c r="A1" s="809"/>
      <c r="B1" s="787"/>
      <c r="C1" s="787"/>
      <c r="D1" s="787"/>
      <c r="E1" s="787"/>
      <c r="F1" s="787"/>
      <c r="G1" s="787"/>
      <c r="H1" s="787"/>
      <c r="I1" s="787"/>
      <c r="J1" s="787"/>
      <c r="K1" s="787"/>
      <c r="L1" s="787"/>
      <c r="M1" s="787"/>
      <c r="N1" s="787"/>
      <c r="O1" s="2"/>
      <c r="P1" s="2"/>
      <c r="Q1" s="2"/>
      <c r="R1" s="2"/>
      <c r="S1" s="2"/>
      <c r="T1" s="2"/>
      <c r="U1" s="2"/>
      <c r="V1" s="2"/>
      <c r="W1" s="2"/>
      <c r="X1" s="638"/>
      <c r="Y1" s="638"/>
      <c r="Z1" s="638"/>
    </row>
    <row r="2" spans="1:35" s="630" customFormat="1" ht="60" customHeight="1" x14ac:dyDescent="0.35">
      <c r="A2" s="787"/>
      <c r="B2" s="1071" t="str">
        <f>Development!B2</f>
        <v>Commercial Efficiency Program</v>
      </c>
      <c r="C2" s="1071"/>
      <c r="D2" s="1071"/>
      <c r="E2" s="1071"/>
      <c r="F2" s="1071"/>
      <c r="G2" s="1071"/>
      <c r="H2" s="1071"/>
      <c r="I2" s="1071"/>
      <c r="J2" s="1071"/>
      <c r="K2" s="1071"/>
      <c r="L2" s="1071"/>
      <c r="M2" s="1071"/>
      <c r="N2" s="810"/>
      <c r="O2" s="843"/>
      <c r="P2" s="843"/>
      <c r="Q2" s="843"/>
      <c r="R2" s="843"/>
      <c r="S2" s="844"/>
      <c r="T2" s="844"/>
      <c r="U2" s="844"/>
      <c r="V2" s="844"/>
      <c r="W2" s="844"/>
      <c r="X2" s="814"/>
      <c r="Y2"/>
      <c r="Z2"/>
      <c r="AA2" s="636"/>
      <c r="AB2" s="636"/>
      <c r="AC2" s="636"/>
      <c r="AD2" s="636"/>
      <c r="AE2" s="636"/>
      <c r="AF2" s="636"/>
    </row>
    <row r="3" spans="1:35" s="631" customFormat="1" ht="60" customHeight="1" thickBot="1" x14ac:dyDescent="0.35">
      <c r="A3" s="789"/>
      <c r="B3" s="1023" t="str">
        <f>"     "&amp;" Ventilation, Version"&amp;" "&amp;Development!B5</f>
        <v xml:space="preserve">      Ventilation, Version 2.0</v>
      </c>
      <c r="C3" s="1023"/>
      <c r="D3" s="1023"/>
      <c r="E3" s="1023"/>
      <c r="F3" s="1023"/>
      <c r="G3" s="1023"/>
      <c r="H3" s="1023"/>
      <c r="I3" s="1023"/>
      <c r="J3" s="1023"/>
      <c r="K3" s="1023"/>
      <c r="L3" s="1023"/>
      <c r="M3" s="1023"/>
      <c r="N3" s="788"/>
      <c r="O3" s="836"/>
      <c r="P3" s="836"/>
      <c r="Q3" s="836"/>
      <c r="R3" s="836"/>
      <c r="S3" s="845"/>
      <c r="T3" s="845"/>
      <c r="U3" s="845"/>
      <c r="V3" s="845"/>
      <c r="W3" s="845"/>
      <c r="X3" s="815"/>
      <c r="Y3" s="815"/>
      <c r="Z3" s="815"/>
      <c r="AA3" s="637"/>
      <c r="AB3" s="637"/>
      <c r="AC3" s="637"/>
      <c r="AD3" s="637"/>
      <c r="AE3" s="637"/>
      <c r="AF3" s="637"/>
    </row>
    <row r="4" spans="1:35" s="638" customFormat="1" ht="21" customHeight="1" thickTop="1" x14ac:dyDescent="0.35">
      <c r="B4" s="639"/>
      <c r="C4" s="639"/>
      <c r="D4" s="639"/>
      <c r="E4" s="639"/>
      <c r="F4" s="639"/>
      <c r="G4" s="639"/>
      <c r="H4" s="639"/>
      <c r="I4" s="639"/>
      <c r="J4" s="639"/>
      <c r="K4" s="639"/>
      <c r="L4" s="639"/>
      <c r="M4" s="639"/>
      <c r="N4" s="639"/>
      <c r="O4" s="639"/>
      <c r="P4" s="639"/>
      <c r="Q4" s="639"/>
      <c r="R4" s="639"/>
      <c r="S4" s="639"/>
      <c r="T4" s="639"/>
      <c r="U4" s="639"/>
      <c r="V4" s="639"/>
      <c r="W4" s="639"/>
      <c r="X4" s="639"/>
      <c r="Y4"/>
      <c r="Z4"/>
      <c r="AB4" s="640"/>
      <c r="AC4" s="640"/>
      <c r="AD4" s="640"/>
      <c r="AE4" s="640"/>
      <c r="AF4" s="640"/>
    </row>
    <row r="5" spans="1:35" s="638" customFormat="1" ht="17.5" customHeight="1" x14ac:dyDescent="0.35">
      <c r="B5" s="639"/>
      <c r="C5" s="639"/>
      <c r="D5" s="639"/>
      <c r="E5" s="639"/>
      <c r="F5" s="639"/>
      <c r="G5" s="639"/>
      <c r="H5" s="639"/>
      <c r="I5" s="639"/>
      <c r="J5" s="639"/>
      <c r="K5" s="639"/>
      <c r="L5" s="639"/>
      <c r="M5" s="639"/>
      <c r="N5" s="639"/>
      <c r="O5" s="639"/>
      <c r="P5" s="639"/>
      <c r="Q5" s="639"/>
      <c r="R5" s="639"/>
      <c r="S5" s="639"/>
      <c r="T5" s="639"/>
      <c r="U5" s="1088" t="s">
        <v>820</v>
      </c>
      <c r="V5" s="1089"/>
      <c r="W5" s="639"/>
      <c r="X5" s="639"/>
      <c r="Y5"/>
      <c r="Z5"/>
      <c r="AB5" s="640"/>
      <c r="AC5" s="640"/>
      <c r="AD5" s="640"/>
      <c r="AE5" s="640"/>
      <c r="AF5" s="640"/>
    </row>
    <row r="6" spans="1:35" ht="22.4" customHeight="1" x14ac:dyDescent="0.4">
      <c r="B6" s="273" t="s">
        <v>781</v>
      </c>
      <c r="C6" s="272" t="str">
        <f>Development!B6</f>
        <v>1.22.2024</v>
      </c>
      <c r="D6" s="272"/>
      <c r="U6" s="1090"/>
      <c r="V6" s="1091"/>
      <c r="Y6"/>
      <c r="Z6"/>
      <c r="AH6" s="469"/>
    </row>
    <row r="7" spans="1:35" ht="16.5" customHeight="1" x14ac:dyDescent="0.35">
      <c r="U7" s="673" t="s">
        <v>821</v>
      </c>
      <c r="V7" s="677" t="str">
        <f>IF(Summary!H97=0,"",Summary!H97)</f>
        <v/>
      </c>
      <c r="AH7" s="469"/>
    </row>
    <row r="8" spans="1:35" ht="16.5" customHeight="1" x14ac:dyDescent="0.35">
      <c r="B8" s="1" t="s">
        <v>0</v>
      </c>
      <c r="C8" s="1087" t="str">
        <f>IF('Customer Information'!$C$6="","",'Customer Information'!$C$6)</f>
        <v/>
      </c>
      <c r="D8" s="1087"/>
      <c r="E8" s="1087"/>
      <c r="F8" s="31" t="s">
        <v>1369</v>
      </c>
      <c r="G8" s="1100" t="str">
        <f>IF('Customer Information'!C16="","",'Customer Information'!C16)</f>
        <v>Select …</v>
      </c>
      <c r="H8" s="1100"/>
      <c r="I8" s="1100"/>
      <c r="J8" s="1100"/>
      <c r="U8" s="674" t="s">
        <v>822</v>
      </c>
      <c r="V8" s="678" t="str">
        <f>IF(Summary!I97=0,"",Summary!I97)</f>
        <v/>
      </c>
      <c r="AH8" s="279"/>
    </row>
    <row r="9" spans="1:35" ht="16.5" customHeight="1" x14ac:dyDescent="0.35">
      <c r="B9" s="1" t="s">
        <v>2</v>
      </c>
      <c r="C9" s="1087" t="str">
        <f>IF('Customer Information'!$C$7="","",'Customer Information'!$C$7)</f>
        <v/>
      </c>
      <c r="D9" s="1087"/>
      <c r="E9" s="1087"/>
      <c r="F9" s="1" t="s">
        <v>1</v>
      </c>
      <c r="G9" s="1084" t="str">
        <f>IF('Customer Information'!$C$5="","",'Customer Information'!$C$5)</f>
        <v/>
      </c>
      <c r="H9" s="1084"/>
      <c r="I9" s="1084"/>
      <c r="J9" s="1084"/>
      <c r="U9" s="674" t="s">
        <v>1686</v>
      </c>
      <c r="V9" s="679" t="str">
        <f>IF(Summary!J97=0,"",Summary!J97)</f>
        <v/>
      </c>
      <c r="AH9" s="279"/>
    </row>
    <row r="10" spans="1:35" ht="15.5" x14ac:dyDescent="0.35">
      <c r="B10" s="1" t="s">
        <v>3</v>
      </c>
      <c r="C10" s="1087" t="str">
        <f>IF(AND('Customer Information'!$I$7="",'Customer Information'!$L$7=""),"",CONCATENATE('Customer Information'!$I$7,", NY ",'Customer Information'!$L$7))</f>
        <v/>
      </c>
      <c r="D10" s="1087"/>
      <c r="E10" s="1087"/>
      <c r="F10" s="1" t="s">
        <v>4</v>
      </c>
      <c r="G10" s="1086" t="str">
        <f>IF('Customer Information'!$K$9="","",'Customer Information'!$K$9)</f>
        <v/>
      </c>
      <c r="H10" s="1086"/>
      <c r="I10" s="1086"/>
      <c r="J10" s="1086"/>
      <c r="U10" s="675" t="s">
        <v>808</v>
      </c>
      <c r="V10" s="680" t="str">
        <f>IF(Summary!K97=0,"",Summary!K97)</f>
        <v/>
      </c>
      <c r="AH10" s="279"/>
    </row>
    <row r="11" spans="1:35" ht="15.5" x14ac:dyDescent="0.35">
      <c r="B11" s="1" t="s">
        <v>5</v>
      </c>
      <c r="C11" s="1087" t="str">
        <f>IF('Customer Information'!$C$10="","",'Customer Information'!$C$10)</f>
        <v/>
      </c>
      <c r="D11" s="1087"/>
      <c r="E11" s="1087"/>
      <c r="F11" s="1" t="s">
        <v>6</v>
      </c>
      <c r="G11" s="1086" t="str">
        <f>IF('Customer Information'!$K$10="","",'Customer Information'!$K$10)</f>
        <v/>
      </c>
      <c r="H11" s="1086"/>
      <c r="I11" s="1086"/>
      <c r="J11" s="1086"/>
      <c r="U11" s="676" t="s">
        <v>1042</v>
      </c>
      <c r="V11" s="680">
        <f>IF(SUM(M20:M29,M36:M45)*0.7&lt;Summary!K97,SUM(M20:M29,M36:M45)*0.7,Summary!K97)</f>
        <v>0</v>
      </c>
      <c r="AH11" s="279"/>
    </row>
    <row r="12" spans="1:35" ht="15.5" x14ac:dyDescent="0.35">
      <c r="B12" s="1" t="s">
        <v>7</v>
      </c>
      <c r="C12" s="1087" t="str">
        <f>IF('Customer Information'!$C$11="","",'Customer Information'!$C$11)</f>
        <v/>
      </c>
      <c r="D12" s="1087"/>
      <c r="E12" s="1087"/>
      <c r="F12" s="1" t="s">
        <v>8</v>
      </c>
      <c r="G12" s="1086" t="str">
        <f>IF('Customer Information'!$K$11="","",'Customer Information'!$K$11)</f>
        <v/>
      </c>
      <c r="H12" s="1086"/>
      <c r="I12" s="1086"/>
      <c r="J12" s="1086"/>
      <c r="T12" s="548" t="str">
        <f>IF(V10="","",IF(V11&lt;V10,"*The Estimated Rebate has been capped at 70% of the Total Project Cost*",""))</f>
        <v/>
      </c>
      <c r="AH12" s="278"/>
      <c r="AI12" s="274" t="e">
        <f>IF(V10=0,"",V11/V10)</f>
        <v>#VALUE!</v>
      </c>
    </row>
    <row r="13" spans="1:35" ht="15.5" x14ac:dyDescent="0.35">
      <c r="B13" s="1" t="s">
        <v>1196</v>
      </c>
      <c r="C13" s="1087" t="str">
        <f>IF('Customer Information'!$L$42="","",'Customer Information'!$L$42)</f>
        <v/>
      </c>
      <c r="D13" s="1087"/>
      <c r="E13" s="1087"/>
      <c r="F13" s="1"/>
      <c r="G13" s="1"/>
      <c r="H13" s="1"/>
      <c r="I13" s="1"/>
      <c r="J13" s="1"/>
      <c r="U13" s="2" t="str">
        <f>IF(OR(BuildingType="",BuildingType="… please select …"),"*Please enter a Building Type*","")</f>
        <v/>
      </c>
    </row>
    <row r="14" spans="1:35" ht="15.5" x14ac:dyDescent="0.35">
      <c r="B14" s="1"/>
      <c r="C14" s="537"/>
      <c r="D14" s="537"/>
      <c r="E14" s="537"/>
      <c r="F14" s="1"/>
      <c r="G14" s="1"/>
      <c r="H14" s="1"/>
      <c r="I14" s="1"/>
      <c r="J14" s="1"/>
    </row>
    <row r="15" spans="1:35" ht="18" x14ac:dyDescent="0.4">
      <c r="B15" s="1102" t="s">
        <v>1997</v>
      </c>
      <c r="C15" s="1102"/>
      <c r="D15" s="1102"/>
      <c r="E15" s="1102"/>
      <c r="F15" s="1"/>
      <c r="G15" s="1"/>
      <c r="H15" s="1"/>
      <c r="I15" s="1"/>
      <c r="J15" s="1"/>
    </row>
    <row r="16" spans="1:35" ht="15.5" x14ac:dyDescent="0.35">
      <c r="B16" s="1"/>
      <c r="C16" s="1"/>
      <c r="D16" s="1"/>
      <c r="E16" s="1"/>
      <c r="F16" s="1"/>
      <c r="G16" s="1"/>
      <c r="H16" s="1"/>
      <c r="I16" s="1"/>
      <c r="J16" s="1"/>
      <c r="P16" s="653" t="s">
        <v>1863</v>
      </c>
      <c r="X16" s="653"/>
      <c r="Y16" s="653"/>
      <c r="Z16" s="653"/>
      <c r="AA16" s="653"/>
      <c r="AB16" s="653"/>
      <c r="AC16" s="653"/>
      <c r="AD16" s="653"/>
    </row>
    <row r="17" spans="1:31" ht="15.5" x14ac:dyDescent="0.35">
      <c r="B17" s="1094" t="s">
        <v>46</v>
      </c>
      <c r="C17" s="1095"/>
      <c r="D17" s="1095"/>
      <c r="E17" s="1095"/>
      <c r="F17" s="1095"/>
      <c r="G17" s="1095"/>
      <c r="H17" s="1096"/>
      <c r="I17" s="1"/>
      <c r="K17" s="1097" t="s">
        <v>637</v>
      </c>
      <c r="L17" s="1098"/>
      <c r="M17" s="1099"/>
      <c r="O17" s="1094" t="s">
        <v>45</v>
      </c>
      <c r="P17" s="1095"/>
      <c r="Q17" s="1095"/>
      <c r="R17" s="1095"/>
      <c r="S17" s="1095"/>
      <c r="T17" s="1095"/>
      <c r="U17" s="1096"/>
      <c r="V17" s="653"/>
      <c r="W17" s="821" t="s">
        <v>2021</v>
      </c>
      <c r="X17" s="653"/>
      <c r="Y17" s="653"/>
      <c r="Z17" s="653"/>
      <c r="AA17" s="653"/>
      <c r="AB17" s="653"/>
      <c r="AC17" s="653"/>
      <c r="AD17" s="653"/>
    </row>
    <row r="18" spans="1:31" ht="47.5" customHeight="1" x14ac:dyDescent="0.35">
      <c r="B18" s="816" t="s">
        <v>9</v>
      </c>
      <c r="C18" s="816" t="s">
        <v>1985</v>
      </c>
      <c r="D18" s="817"/>
      <c r="E18" s="816" t="s">
        <v>1986</v>
      </c>
      <c r="F18" s="816" t="s">
        <v>1987</v>
      </c>
      <c r="G18" s="816" t="s">
        <v>1988</v>
      </c>
      <c r="H18" s="818" t="s">
        <v>2096</v>
      </c>
      <c r="I18" s="1"/>
      <c r="J18" s="1"/>
      <c r="K18" s="819" t="s">
        <v>638</v>
      </c>
      <c r="L18" s="819" t="s">
        <v>639</v>
      </c>
      <c r="M18" s="819" t="s">
        <v>842</v>
      </c>
      <c r="O18" s="818" t="s">
        <v>1990</v>
      </c>
      <c r="P18" s="818" t="s">
        <v>1991</v>
      </c>
      <c r="Q18" s="818" t="s">
        <v>2020</v>
      </c>
      <c r="R18" s="820" t="s">
        <v>1992</v>
      </c>
      <c r="S18" s="820" t="s">
        <v>1994</v>
      </c>
      <c r="T18" s="820" t="s">
        <v>2056</v>
      </c>
      <c r="U18" s="820" t="s">
        <v>1995</v>
      </c>
      <c r="W18" s="819" t="s">
        <v>38</v>
      </c>
      <c r="Y18" s="653"/>
      <c r="Z18" s="653"/>
      <c r="AA18" s="653"/>
      <c r="AB18" s="653"/>
      <c r="AC18" s="653"/>
      <c r="AD18" s="653"/>
      <c r="AE18" s="653"/>
    </row>
    <row r="19" spans="1:31" s="5" customFormat="1" ht="15.5" x14ac:dyDescent="0.35">
      <c r="A19" s="709" t="s">
        <v>2106</v>
      </c>
      <c r="B19" s="703" t="s">
        <v>2006</v>
      </c>
      <c r="C19" s="751">
        <v>1000</v>
      </c>
      <c r="D19" s="703"/>
      <c r="E19" s="704">
        <v>0.7</v>
      </c>
      <c r="F19" s="704">
        <v>0.55000000000000004</v>
      </c>
      <c r="G19" s="703">
        <v>1</v>
      </c>
      <c r="H19" s="703" t="s">
        <v>2095</v>
      </c>
      <c r="I19" s="705"/>
      <c r="J19" s="705"/>
      <c r="K19" s="731">
        <v>500</v>
      </c>
      <c r="L19" s="731">
        <v>500</v>
      </c>
      <c r="M19" s="731">
        <f>IF(OR(K19="",L19=""),"",K19+L19)</f>
        <v>1000</v>
      </c>
      <c r="O19" s="703" t="s">
        <v>91</v>
      </c>
      <c r="P19" s="703" t="s">
        <v>1278</v>
      </c>
      <c r="Q19" s="703" t="s">
        <v>93</v>
      </c>
      <c r="R19" s="706">
        <v>456</v>
      </c>
      <c r="S19" s="706">
        <v>11</v>
      </c>
      <c r="T19" s="706"/>
      <c r="U19" s="707">
        <v>0.8</v>
      </c>
      <c r="W19" s="728">
        <v>600</v>
      </c>
      <c r="Y19" s="708"/>
      <c r="Z19" s="708"/>
      <c r="AA19" s="708"/>
      <c r="AB19" s="708"/>
      <c r="AC19" s="708"/>
      <c r="AD19" s="708"/>
      <c r="AE19" s="708"/>
    </row>
    <row r="20" spans="1:31" ht="15.5" x14ac:dyDescent="0.35">
      <c r="A20" s="2">
        <v>1</v>
      </c>
      <c r="B20" s="745"/>
      <c r="C20" s="756"/>
      <c r="D20" s="745"/>
      <c r="E20" s="746"/>
      <c r="F20" s="746"/>
      <c r="G20" s="745"/>
      <c r="H20" s="745"/>
      <c r="I20" s="1"/>
      <c r="J20" s="1"/>
      <c r="K20" s="747"/>
      <c r="L20" s="747"/>
      <c r="M20" s="732" t="str">
        <f t="shared" ref="M20:M29" si="0">IF(OR(K20="",L20=""),"",K20+L20)</f>
        <v/>
      </c>
      <c r="O20" s="748"/>
      <c r="P20" s="748"/>
      <c r="Q20" s="748"/>
      <c r="R20" s="749"/>
      <c r="S20" s="749"/>
      <c r="T20" s="749"/>
      <c r="U20" s="750"/>
      <c r="W20" s="729">
        <f>IF(B20="Energy Recovery Ventilator (ERV)",Calculations!AW72,Calculations!AX72)</f>
        <v>0</v>
      </c>
      <c r="Y20" s="653"/>
      <c r="Z20" s="653"/>
      <c r="AA20" s="653"/>
      <c r="AB20" s="653"/>
      <c r="AC20" s="653"/>
      <c r="AD20" s="653"/>
      <c r="AE20" s="653"/>
    </row>
    <row r="21" spans="1:31" ht="15.5" x14ac:dyDescent="0.35">
      <c r="A21" s="2">
        <v>2</v>
      </c>
      <c r="B21" s="745"/>
      <c r="C21" s="756"/>
      <c r="D21" s="745"/>
      <c r="E21" s="746"/>
      <c r="F21" s="746"/>
      <c r="G21" s="745"/>
      <c r="H21" s="745"/>
      <c r="I21" s="1"/>
      <c r="J21" s="1"/>
      <c r="K21" s="747"/>
      <c r="L21" s="747"/>
      <c r="M21" s="732" t="str">
        <f t="shared" si="0"/>
        <v/>
      </c>
      <c r="O21" s="748"/>
      <c r="P21" s="748"/>
      <c r="Q21" s="748"/>
      <c r="R21" s="749"/>
      <c r="S21" s="749"/>
      <c r="T21" s="749"/>
      <c r="U21" s="750"/>
      <c r="W21" s="729">
        <f>IF(B21="Energy Recovery Ventilator (ERV)",Calculations!AW73,Calculations!AX73)</f>
        <v>0</v>
      </c>
      <c r="Y21" s="653"/>
      <c r="Z21" s="653"/>
      <c r="AA21" s="653"/>
      <c r="AB21" s="653"/>
      <c r="AC21" s="653"/>
      <c r="AD21" s="653"/>
      <c r="AE21" s="653"/>
    </row>
    <row r="22" spans="1:31" ht="15.5" x14ac:dyDescent="0.35">
      <c r="A22" s="2">
        <v>3</v>
      </c>
      <c r="B22" s="745"/>
      <c r="C22" s="756"/>
      <c r="D22" s="745"/>
      <c r="E22" s="746"/>
      <c r="F22" s="746"/>
      <c r="G22" s="745"/>
      <c r="H22" s="745"/>
      <c r="I22" s="1"/>
      <c r="J22" s="1"/>
      <c r="K22" s="747"/>
      <c r="L22" s="747"/>
      <c r="M22" s="732" t="str">
        <f t="shared" si="0"/>
        <v/>
      </c>
      <c r="O22" s="748"/>
      <c r="P22" s="748"/>
      <c r="Q22" s="748"/>
      <c r="R22" s="749"/>
      <c r="S22" s="749"/>
      <c r="T22" s="749"/>
      <c r="U22" s="750"/>
      <c r="W22" s="729">
        <f>IF(B22="Energy Recovery Ventilator (ERV)",Calculations!AW74,Calculations!AX74)</f>
        <v>0</v>
      </c>
      <c r="Y22" s="653"/>
      <c r="Z22" s="653"/>
      <c r="AA22" s="653"/>
      <c r="AB22" s="653"/>
      <c r="AC22" s="653"/>
      <c r="AD22" s="653"/>
      <c r="AE22" s="653"/>
    </row>
    <row r="23" spans="1:31" ht="15.5" x14ac:dyDescent="0.35">
      <c r="A23" s="2">
        <v>4</v>
      </c>
      <c r="B23" s="745"/>
      <c r="C23" s="756"/>
      <c r="D23" s="745"/>
      <c r="E23" s="746"/>
      <c r="F23" s="746"/>
      <c r="G23" s="745"/>
      <c r="H23" s="745"/>
      <c r="I23" s="1"/>
      <c r="J23" s="1"/>
      <c r="K23" s="747"/>
      <c r="L23" s="747"/>
      <c r="M23" s="732" t="str">
        <f t="shared" si="0"/>
        <v/>
      </c>
      <c r="O23" s="748"/>
      <c r="P23" s="748"/>
      <c r="Q23" s="748"/>
      <c r="R23" s="749"/>
      <c r="S23" s="749"/>
      <c r="T23" s="749"/>
      <c r="U23" s="750"/>
      <c r="W23" s="729">
        <f>IF(B23="Energy Recovery Ventilator (ERV)",Calculations!AW75,Calculations!AX75)</f>
        <v>0</v>
      </c>
      <c r="Y23" s="653"/>
      <c r="Z23" s="653"/>
      <c r="AA23" s="653"/>
      <c r="AB23" s="653"/>
      <c r="AC23" s="653"/>
      <c r="AD23" s="653"/>
      <c r="AE23" s="653"/>
    </row>
    <row r="24" spans="1:31" ht="15.5" x14ac:dyDescent="0.35">
      <c r="A24" s="2">
        <v>5</v>
      </c>
      <c r="B24" s="745"/>
      <c r="C24" s="756"/>
      <c r="D24" s="745"/>
      <c r="E24" s="746"/>
      <c r="F24" s="746"/>
      <c r="G24" s="745"/>
      <c r="H24" s="745"/>
      <c r="I24" s="1"/>
      <c r="J24" s="1"/>
      <c r="K24" s="747"/>
      <c r="L24" s="747"/>
      <c r="M24" s="732" t="str">
        <f t="shared" si="0"/>
        <v/>
      </c>
      <c r="O24" s="748"/>
      <c r="P24" s="748"/>
      <c r="Q24" s="748"/>
      <c r="R24" s="749"/>
      <c r="S24" s="749"/>
      <c r="T24" s="749"/>
      <c r="U24" s="750"/>
      <c r="W24" s="729">
        <f>IF(B24="Energy Recovery Ventilator (ERV)",Calculations!AW76,Calculations!AX76)</f>
        <v>0</v>
      </c>
      <c r="Y24" s="653"/>
      <c r="Z24" s="653"/>
      <c r="AA24" s="653"/>
      <c r="AB24" s="653"/>
      <c r="AC24" s="653"/>
      <c r="AD24" s="653"/>
      <c r="AE24" s="653"/>
    </row>
    <row r="25" spans="1:31" ht="15.5" x14ac:dyDescent="0.35">
      <c r="A25" s="2">
        <v>6</v>
      </c>
      <c r="B25" s="745"/>
      <c r="C25" s="756"/>
      <c r="D25" s="745"/>
      <c r="E25" s="746"/>
      <c r="F25" s="746"/>
      <c r="G25" s="745"/>
      <c r="H25" s="745"/>
      <c r="I25" s="1"/>
      <c r="J25" s="1"/>
      <c r="K25" s="747"/>
      <c r="L25" s="747"/>
      <c r="M25" s="732" t="str">
        <f t="shared" si="0"/>
        <v/>
      </c>
      <c r="O25" s="748"/>
      <c r="P25" s="748"/>
      <c r="Q25" s="748"/>
      <c r="R25" s="749"/>
      <c r="S25" s="749"/>
      <c r="T25" s="749"/>
      <c r="U25" s="750"/>
      <c r="W25" s="729">
        <f>IF(B25="Energy Recovery Ventilator (ERV)",Calculations!AW77,Calculations!AX77)</f>
        <v>0</v>
      </c>
      <c r="Y25" s="653"/>
      <c r="Z25" s="653"/>
      <c r="AA25" s="653"/>
      <c r="AB25" s="653"/>
      <c r="AC25" s="653"/>
      <c r="AD25" s="653"/>
      <c r="AE25" s="653"/>
    </row>
    <row r="26" spans="1:31" ht="15.5" x14ac:dyDescent="0.35">
      <c r="A26" s="2">
        <v>7</v>
      </c>
      <c r="B26" s="745"/>
      <c r="C26" s="756"/>
      <c r="D26" s="745"/>
      <c r="E26" s="746"/>
      <c r="F26" s="746"/>
      <c r="G26" s="745"/>
      <c r="H26" s="745"/>
      <c r="I26" s="1"/>
      <c r="J26" s="1"/>
      <c r="K26" s="747"/>
      <c r="L26" s="747"/>
      <c r="M26" s="732" t="str">
        <f t="shared" si="0"/>
        <v/>
      </c>
      <c r="O26" s="748"/>
      <c r="P26" s="748"/>
      <c r="Q26" s="748"/>
      <c r="R26" s="749"/>
      <c r="S26" s="749"/>
      <c r="T26" s="749"/>
      <c r="U26" s="750"/>
      <c r="W26" s="729">
        <f>IF(B26="Energy Recovery Ventilator (ERV)",Calculations!AW78,Calculations!AX78)</f>
        <v>0</v>
      </c>
      <c r="Y26" s="653"/>
      <c r="Z26" s="653"/>
      <c r="AA26" s="653"/>
      <c r="AB26" s="653"/>
      <c r="AC26" s="653"/>
      <c r="AD26" s="653"/>
      <c r="AE26" s="653"/>
    </row>
    <row r="27" spans="1:31" ht="15.5" x14ac:dyDescent="0.35">
      <c r="A27" s="2">
        <v>8</v>
      </c>
      <c r="B27" s="745"/>
      <c r="C27" s="756"/>
      <c r="D27" s="745"/>
      <c r="E27" s="746"/>
      <c r="F27" s="746"/>
      <c r="G27" s="745"/>
      <c r="H27" s="745"/>
      <c r="I27" s="1"/>
      <c r="J27" s="1"/>
      <c r="K27" s="747"/>
      <c r="L27" s="747"/>
      <c r="M27" s="732" t="str">
        <f t="shared" si="0"/>
        <v/>
      </c>
      <c r="O27" s="748"/>
      <c r="P27" s="748"/>
      <c r="Q27" s="748"/>
      <c r="R27" s="749"/>
      <c r="S27" s="749"/>
      <c r="T27" s="749"/>
      <c r="U27" s="750"/>
      <c r="W27" s="729">
        <f>IF(B27="Energy Recovery Ventilator (ERV)",Calculations!AW79,Calculations!AX79)</f>
        <v>0</v>
      </c>
      <c r="Y27" s="653"/>
      <c r="Z27" s="653"/>
      <c r="AA27" s="653"/>
      <c r="AB27" s="653"/>
      <c r="AC27" s="653"/>
      <c r="AD27" s="653"/>
      <c r="AE27" s="653"/>
    </row>
    <row r="28" spans="1:31" ht="15.5" x14ac:dyDescent="0.35">
      <c r="A28" s="2">
        <v>9</v>
      </c>
      <c r="B28" s="745"/>
      <c r="C28" s="756"/>
      <c r="D28" s="745"/>
      <c r="E28" s="746"/>
      <c r="F28" s="746"/>
      <c r="G28" s="745"/>
      <c r="H28" s="745"/>
      <c r="I28" s="1"/>
      <c r="J28" s="1"/>
      <c r="K28" s="747"/>
      <c r="L28" s="747"/>
      <c r="M28" s="732" t="str">
        <f t="shared" si="0"/>
        <v/>
      </c>
      <c r="O28" s="748"/>
      <c r="P28" s="748"/>
      <c r="Q28" s="748"/>
      <c r="R28" s="749"/>
      <c r="S28" s="749"/>
      <c r="T28" s="749"/>
      <c r="U28" s="750"/>
      <c r="W28" s="729">
        <f>IF(B28="Energy Recovery Ventilator (ERV)",Calculations!AW80,Calculations!AX80)</f>
        <v>0</v>
      </c>
      <c r="Y28" s="653"/>
      <c r="Z28" s="653"/>
      <c r="AA28" s="653"/>
      <c r="AB28" s="653"/>
      <c r="AC28" s="653"/>
      <c r="AD28" s="653"/>
      <c r="AE28" s="653"/>
    </row>
    <row r="29" spans="1:31" ht="15.5" x14ac:dyDescent="0.35">
      <c r="A29" s="2">
        <v>10</v>
      </c>
      <c r="B29" s="745"/>
      <c r="C29" s="756"/>
      <c r="D29" s="745"/>
      <c r="E29" s="746"/>
      <c r="F29" s="746"/>
      <c r="G29" s="745"/>
      <c r="H29" s="745"/>
      <c r="I29" s="1"/>
      <c r="J29" s="1"/>
      <c r="K29" s="747"/>
      <c r="L29" s="747"/>
      <c r="M29" s="732" t="str">
        <f t="shared" si="0"/>
        <v/>
      </c>
      <c r="O29" s="748"/>
      <c r="P29" s="748"/>
      <c r="Q29" s="748"/>
      <c r="R29" s="749"/>
      <c r="S29" s="749"/>
      <c r="T29" s="749"/>
      <c r="U29" s="750"/>
      <c r="W29" s="729">
        <f>IF(B29="Energy Recovery Ventilator (ERV)",Calculations!AW81,Calculations!AX81)</f>
        <v>0</v>
      </c>
      <c r="Y29" s="653"/>
      <c r="Z29" s="653"/>
      <c r="AA29" s="653"/>
      <c r="AB29" s="653"/>
      <c r="AC29" s="653"/>
      <c r="AD29" s="653"/>
      <c r="AE29" s="653"/>
    </row>
    <row r="30" spans="1:31" ht="15.5" x14ac:dyDescent="0.35">
      <c r="B30" s="1"/>
      <c r="C30" s="1"/>
      <c r="D30" s="1"/>
      <c r="E30" s="1"/>
      <c r="F30" s="1"/>
      <c r="G30" s="1"/>
      <c r="H30" s="1"/>
      <c r="I30" s="1"/>
      <c r="J30" s="1"/>
      <c r="W30" s="730"/>
      <c r="X30" s="653"/>
      <c r="Y30" s="653"/>
      <c r="Z30" s="653"/>
      <c r="AA30" s="653"/>
      <c r="AB30" s="653"/>
      <c r="AC30" s="653"/>
      <c r="AD30" s="653"/>
    </row>
    <row r="31" spans="1:31" ht="18" x14ac:dyDescent="0.35">
      <c r="B31" s="1103" t="s">
        <v>1981</v>
      </c>
      <c r="C31" s="1103"/>
      <c r="D31" s="1"/>
      <c r="E31" s="1"/>
      <c r="F31" s="1"/>
      <c r="G31" s="1"/>
      <c r="H31" s="1"/>
      <c r="I31" s="1"/>
      <c r="J31" s="1"/>
      <c r="W31" s="653"/>
      <c r="X31" s="653"/>
      <c r="Y31" s="653"/>
      <c r="Z31" s="653"/>
      <c r="AA31" s="653"/>
      <c r="AB31" s="653"/>
      <c r="AC31" s="653"/>
      <c r="AD31" s="653"/>
    </row>
    <row r="32" spans="1:31" ht="15.5" x14ac:dyDescent="0.35">
      <c r="B32" s="1"/>
      <c r="C32" s="1"/>
      <c r="D32" s="1"/>
      <c r="E32" s="1"/>
      <c r="F32" s="1"/>
      <c r="G32" s="1"/>
      <c r="H32" s="1"/>
      <c r="I32" s="1"/>
      <c r="J32" s="1"/>
      <c r="W32" s="653"/>
      <c r="X32" s="653"/>
      <c r="Y32" s="653"/>
      <c r="Z32" s="653"/>
      <c r="AA32" s="653"/>
      <c r="AB32" s="653"/>
      <c r="AC32" s="653"/>
      <c r="AD32" s="653"/>
    </row>
    <row r="33" spans="1:33" ht="15.5" x14ac:dyDescent="0.35">
      <c r="B33" s="1092" t="s">
        <v>46</v>
      </c>
      <c r="C33" s="1093"/>
      <c r="D33" s="1093"/>
      <c r="E33" s="1093"/>
      <c r="F33" s="1093"/>
      <c r="G33" s="1093"/>
      <c r="H33" s="1093"/>
      <c r="I33" s="1093"/>
      <c r="J33" s="1"/>
      <c r="K33" s="1097" t="s">
        <v>637</v>
      </c>
      <c r="L33" s="1098"/>
      <c r="M33" s="1099"/>
      <c r="O33" s="1101" t="s">
        <v>45</v>
      </c>
      <c r="P33" s="1101"/>
      <c r="Q33" s="1101"/>
      <c r="R33" s="1101"/>
      <c r="T33" s="821" t="s">
        <v>2021</v>
      </c>
      <c r="U33" s="653"/>
      <c r="W33" s="653"/>
      <c r="X33" s="653"/>
      <c r="Y33" s="653"/>
      <c r="Z33" s="653"/>
      <c r="AA33" s="653"/>
      <c r="AB33" s="653"/>
      <c r="AC33" s="653"/>
      <c r="AD33" s="653"/>
    </row>
    <row r="34" spans="1:33" ht="35.5" customHeight="1" x14ac:dyDescent="0.35">
      <c r="B34" s="816" t="s">
        <v>1999</v>
      </c>
      <c r="C34" s="816" t="s">
        <v>2016</v>
      </c>
      <c r="D34" s="817"/>
      <c r="E34" s="816" t="s">
        <v>2301</v>
      </c>
      <c r="F34" s="816" t="s">
        <v>2304</v>
      </c>
      <c r="G34" s="816" t="s">
        <v>1998</v>
      </c>
      <c r="H34" s="822" t="s">
        <v>865</v>
      </c>
      <c r="I34" s="818" t="s">
        <v>2305</v>
      </c>
      <c r="J34" s="1"/>
      <c r="K34" s="819" t="s">
        <v>638</v>
      </c>
      <c r="L34" s="819" t="s">
        <v>639</v>
      </c>
      <c r="M34" s="819" t="s">
        <v>842</v>
      </c>
      <c r="O34" s="818" t="s">
        <v>2000</v>
      </c>
      <c r="P34" s="818" t="s">
        <v>2301</v>
      </c>
      <c r="Q34" s="820" t="s">
        <v>2304</v>
      </c>
      <c r="R34" s="820" t="s">
        <v>1998</v>
      </c>
      <c r="T34" s="819" t="s">
        <v>38</v>
      </c>
      <c r="W34" s="653"/>
      <c r="X34" s="653"/>
      <c r="Y34" s="653"/>
      <c r="Z34" s="653"/>
      <c r="AA34" s="653"/>
      <c r="AB34" s="653"/>
      <c r="AC34" s="653"/>
      <c r="AD34" s="653"/>
    </row>
    <row r="35" spans="1:33" s="5" customFormat="1" ht="15.5" x14ac:dyDescent="0.35">
      <c r="A35" s="709" t="s">
        <v>2106</v>
      </c>
      <c r="B35" s="703" t="s">
        <v>2015</v>
      </c>
      <c r="C35" s="703" t="s">
        <v>1978</v>
      </c>
      <c r="D35" s="703"/>
      <c r="E35" s="751">
        <v>20000</v>
      </c>
      <c r="F35" s="703">
        <v>200</v>
      </c>
      <c r="G35" s="703">
        <v>5</v>
      </c>
      <c r="H35" s="751">
        <v>5000</v>
      </c>
      <c r="I35" s="751" t="s">
        <v>2306</v>
      </c>
      <c r="J35" s="705"/>
      <c r="K35" s="731">
        <v>2500</v>
      </c>
      <c r="L35" s="731">
        <v>1000</v>
      </c>
      <c r="M35" s="731">
        <f>IF(OR(K35="",L35=""),"",G35*(K35+L35))</f>
        <v>17500</v>
      </c>
      <c r="O35" s="703" t="s">
        <v>2019</v>
      </c>
      <c r="P35" s="751">
        <v>20000</v>
      </c>
      <c r="Q35" s="706">
        <v>15</v>
      </c>
      <c r="R35" s="706">
        <v>5</v>
      </c>
      <c r="T35" s="728">
        <v>6000</v>
      </c>
      <c r="W35" s="708"/>
      <c r="X35" s="708"/>
      <c r="Y35" s="708"/>
      <c r="Z35" s="708"/>
      <c r="AA35" s="708"/>
      <c r="AB35" s="708"/>
      <c r="AC35" s="708"/>
      <c r="AD35" s="708"/>
    </row>
    <row r="36" spans="1:33" ht="15.5" x14ac:dyDescent="0.35">
      <c r="A36" s="2">
        <v>1</v>
      </c>
      <c r="B36" s="745"/>
      <c r="C36" s="745"/>
      <c r="D36" s="745"/>
      <c r="E36" s="982"/>
      <c r="F36" s="745"/>
      <c r="G36" s="745"/>
      <c r="H36" s="756"/>
      <c r="I36" s="756"/>
      <c r="J36" s="1"/>
      <c r="K36" s="747"/>
      <c r="L36" s="747"/>
      <c r="M36" s="733" t="str">
        <f t="shared" ref="M36:M45" si="1">IF(OR(K36="",L36=""),"",G36*(K36+L36))</f>
        <v/>
      </c>
      <c r="O36" s="748"/>
      <c r="P36" s="983"/>
      <c r="Q36" s="749"/>
      <c r="R36" s="749"/>
      <c r="T36" s="729" t="str">
        <f>IF(Calculations!T88&gt;0,Calculations!W88,"")</f>
        <v/>
      </c>
      <c r="W36" s="653"/>
      <c r="X36" s="653"/>
      <c r="Y36" s="653"/>
      <c r="Z36" s="653"/>
      <c r="AA36" s="653"/>
      <c r="AB36" s="653"/>
      <c r="AC36" s="653"/>
      <c r="AD36" s="653"/>
    </row>
    <row r="37" spans="1:33" ht="15.5" x14ac:dyDescent="0.35">
      <c r="A37" s="2">
        <v>2</v>
      </c>
      <c r="B37" s="745"/>
      <c r="C37" s="745"/>
      <c r="D37" s="745"/>
      <c r="E37" s="756"/>
      <c r="F37" s="745"/>
      <c r="G37" s="745"/>
      <c r="H37" s="756"/>
      <c r="I37" s="756"/>
      <c r="J37" s="1"/>
      <c r="K37" s="747"/>
      <c r="L37" s="747"/>
      <c r="M37" s="733" t="str">
        <f t="shared" si="1"/>
        <v/>
      </c>
      <c r="O37" s="748"/>
      <c r="P37" s="756"/>
      <c r="Q37" s="749"/>
      <c r="R37" s="749"/>
      <c r="T37" s="729" t="str">
        <f>IF(Calculations!T89&gt;0,Calculations!W89,"")</f>
        <v/>
      </c>
      <c r="W37" s="653"/>
      <c r="X37" s="653"/>
      <c r="Y37" s="653"/>
      <c r="Z37" s="653"/>
      <c r="AA37" s="653"/>
      <c r="AB37" s="653"/>
      <c r="AC37" s="653"/>
      <c r="AD37" s="653"/>
    </row>
    <row r="38" spans="1:33" ht="15.5" x14ac:dyDescent="0.35">
      <c r="A38" s="2">
        <v>3</v>
      </c>
      <c r="B38" s="745"/>
      <c r="C38" s="745"/>
      <c r="D38" s="745"/>
      <c r="E38" s="756"/>
      <c r="F38" s="745"/>
      <c r="G38" s="745"/>
      <c r="H38" s="756"/>
      <c r="I38" s="756"/>
      <c r="J38" s="1"/>
      <c r="K38" s="747"/>
      <c r="L38" s="747"/>
      <c r="M38" s="733" t="str">
        <f t="shared" si="1"/>
        <v/>
      </c>
      <c r="O38" s="748"/>
      <c r="P38" s="756"/>
      <c r="Q38" s="749"/>
      <c r="R38" s="749"/>
      <c r="T38" s="729" t="str">
        <f>IF(Calculations!T90&gt;0,Calculations!W90,"")</f>
        <v/>
      </c>
      <c r="W38" s="653"/>
      <c r="X38" s="653"/>
      <c r="Y38" s="653"/>
      <c r="Z38" s="653"/>
      <c r="AA38" s="653"/>
      <c r="AB38" s="653"/>
      <c r="AC38" s="653"/>
      <c r="AD38" s="653"/>
    </row>
    <row r="39" spans="1:33" ht="15.5" x14ac:dyDescent="0.35">
      <c r="A39" s="2">
        <v>4</v>
      </c>
      <c r="B39" s="745"/>
      <c r="C39" s="745"/>
      <c r="D39" s="745"/>
      <c r="E39" s="756"/>
      <c r="F39" s="745"/>
      <c r="G39" s="745"/>
      <c r="H39" s="756"/>
      <c r="I39" s="756"/>
      <c r="J39" s="1"/>
      <c r="K39" s="747"/>
      <c r="L39" s="747"/>
      <c r="M39" s="733" t="str">
        <f t="shared" si="1"/>
        <v/>
      </c>
      <c r="O39" s="748"/>
      <c r="P39" s="756"/>
      <c r="Q39" s="749"/>
      <c r="R39" s="749"/>
      <c r="T39" s="729" t="str">
        <f>IF(Calculations!T91&gt;0,Calculations!W91,"")</f>
        <v/>
      </c>
      <c r="W39" s="653"/>
      <c r="X39" s="653"/>
      <c r="Y39" s="653"/>
      <c r="Z39" s="653"/>
      <c r="AA39" s="653"/>
      <c r="AB39" s="653"/>
      <c r="AC39" s="653"/>
      <c r="AD39" s="653"/>
    </row>
    <row r="40" spans="1:33" ht="15.5" x14ac:dyDescent="0.35">
      <c r="A40" s="2">
        <v>5</v>
      </c>
      <c r="B40" s="745"/>
      <c r="C40" s="745"/>
      <c r="D40" s="745"/>
      <c r="E40" s="756"/>
      <c r="F40" s="745"/>
      <c r="G40" s="745"/>
      <c r="H40" s="756"/>
      <c r="I40" s="756"/>
      <c r="J40" s="1"/>
      <c r="K40" s="747"/>
      <c r="L40" s="747"/>
      <c r="M40" s="733" t="str">
        <f t="shared" si="1"/>
        <v/>
      </c>
      <c r="O40" s="748"/>
      <c r="P40" s="756"/>
      <c r="Q40" s="749"/>
      <c r="R40" s="749"/>
      <c r="T40" s="729" t="str">
        <f>IF(Calculations!T92&gt;0,Calculations!W92,"")</f>
        <v/>
      </c>
      <c r="W40" s="653"/>
      <c r="X40" s="653"/>
      <c r="Y40" s="653"/>
      <c r="Z40" s="653"/>
      <c r="AA40" s="653"/>
      <c r="AB40" s="653"/>
      <c r="AC40" s="653"/>
      <c r="AD40" s="653"/>
    </row>
    <row r="41" spans="1:33" ht="15.5" x14ac:dyDescent="0.35">
      <c r="A41" s="2">
        <v>6</v>
      </c>
      <c r="B41" s="745"/>
      <c r="C41" s="745"/>
      <c r="D41" s="745"/>
      <c r="E41" s="756"/>
      <c r="F41" s="745"/>
      <c r="G41" s="745"/>
      <c r="H41" s="756"/>
      <c r="I41" s="756"/>
      <c r="J41" s="1"/>
      <c r="K41" s="747"/>
      <c r="L41" s="747"/>
      <c r="M41" s="733" t="str">
        <f t="shared" si="1"/>
        <v/>
      </c>
      <c r="O41" s="748"/>
      <c r="P41" s="756"/>
      <c r="Q41" s="749"/>
      <c r="R41" s="749"/>
      <c r="T41" s="729" t="str">
        <f>IF(Calculations!T93&gt;0,Calculations!W93,"")</f>
        <v/>
      </c>
      <c r="W41" s="653"/>
      <c r="X41" s="653"/>
      <c r="Y41" s="653"/>
      <c r="Z41" s="653"/>
      <c r="AA41" s="653"/>
      <c r="AB41" s="653"/>
      <c r="AC41" s="653"/>
      <c r="AD41" s="653"/>
    </row>
    <row r="42" spans="1:33" ht="15.5" x14ac:dyDescent="0.35">
      <c r="A42" s="2">
        <v>7</v>
      </c>
      <c r="B42" s="745"/>
      <c r="C42" s="745"/>
      <c r="D42" s="745"/>
      <c r="E42" s="756"/>
      <c r="F42" s="745"/>
      <c r="G42" s="745"/>
      <c r="H42" s="756"/>
      <c r="I42" s="756"/>
      <c r="J42" s="1"/>
      <c r="K42" s="747"/>
      <c r="L42" s="747"/>
      <c r="M42" s="733" t="str">
        <f t="shared" si="1"/>
        <v/>
      </c>
      <c r="O42" s="748"/>
      <c r="P42" s="756"/>
      <c r="Q42" s="749"/>
      <c r="R42" s="749"/>
      <c r="T42" s="729" t="str">
        <f>IF(Calculations!T94&gt;0,Calculations!W94,"")</f>
        <v/>
      </c>
      <c r="W42" s="653"/>
      <c r="X42" s="653"/>
      <c r="Y42" s="653"/>
      <c r="Z42" s="653"/>
      <c r="AA42" s="653"/>
      <c r="AB42" s="653"/>
      <c r="AC42" s="653"/>
      <c r="AD42" s="653"/>
    </row>
    <row r="43" spans="1:33" ht="15.5" x14ac:dyDescent="0.35">
      <c r="A43" s="2">
        <v>8</v>
      </c>
      <c r="B43" s="745"/>
      <c r="C43" s="745"/>
      <c r="D43" s="745"/>
      <c r="E43" s="756"/>
      <c r="F43" s="745"/>
      <c r="G43" s="745"/>
      <c r="H43" s="756"/>
      <c r="I43" s="756"/>
      <c r="J43" s="1"/>
      <c r="K43" s="747"/>
      <c r="L43" s="747"/>
      <c r="M43" s="733" t="str">
        <f t="shared" si="1"/>
        <v/>
      </c>
      <c r="O43" s="748"/>
      <c r="P43" s="756"/>
      <c r="Q43" s="749"/>
      <c r="R43" s="749"/>
      <c r="T43" s="729" t="str">
        <f>IF(Calculations!T95&gt;0,Calculations!W95,"")</f>
        <v/>
      </c>
      <c r="W43" s="653"/>
      <c r="X43" s="653"/>
      <c r="Y43" s="653"/>
      <c r="Z43" s="653"/>
      <c r="AA43" s="653"/>
      <c r="AB43" s="653"/>
      <c r="AC43" s="653"/>
      <c r="AD43" s="653"/>
    </row>
    <row r="44" spans="1:33" ht="15.5" x14ac:dyDescent="0.35">
      <c r="A44" s="2">
        <v>9</v>
      </c>
      <c r="B44" s="745"/>
      <c r="C44" s="745"/>
      <c r="D44" s="745"/>
      <c r="E44" s="756"/>
      <c r="F44" s="745"/>
      <c r="G44" s="745"/>
      <c r="H44" s="756"/>
      <c r="I44" s="756"/>
      <c r="J44" s="1"/>
      <c r="K44" s="747"/>
      <c r="L44" s="747"/>
      <c r="M44" s="733" t="str">
        <f t="shared" si="1"/>
        <v/>
      </c>
      <c r="O44" s="748"/>
      <c r="P44" s="756"/>
      <c r="Q44" s="749"/>
      <c r="R44" s="749"/>
      <c r="T44" s="729" t="str">
        <f>IF(Calculations!T96&gt;0,Calculations!W96,"")</f>
        <v/>
      </c>
      <c r="W44" s="653"/>
      <c r="X44" s="653"/>
      <c r="Y44" s="653"/>
      <c r="Z44" s="653"/>
      <c r="AA44" s="653"/>
      <c r="AB44" s="653"/>
      <c r="AC44" s="653"/>
      <c r="AD44" s="653"/>
    </row>
    <row r="45" spans="1:33" ht="15.5" x14ac:dyDescent="0.35">
      <c r="A45" s="2">
        <v>10</v>
      </c>
      <c r="B45" s="745"/>
      <c r="C45" s="745"/>
      <c r="D45" s="745"/>
      <c r="E45" s="756"/>
      <c r="F45" s="745"/>
      <c r="G45" s="745"/>
      <c r="H45" s="756"/>
      <c r="I45" s="756"/>
      <c r="J45" s="1"/>
      <c r="K45" s="747"/>
      <c r="L45" s="747"/>
      <c r="M45" s="733" t="str">
        <f t="shared" si="1"/>
        <v/>
      </c>
      <c r="O45" s="748"/>
      <c r="P45" s="756"/>
      <c r="Q45" s="749"/>
      <c r="R45" s="749"/>
      <c r="T45" s="729" t="str">
        <f>IF(Calculations!T97&gt;0,Calculations!W97,"")</f>
        <v/>
      </c>
      <c r="W45" s="653"/>
      <c r="X45" s="653"/>
      <c r="Y45" s="653"/>
      <c r="Z45" s="653"/>
      <c r="AA45" s="653"/>
      <c r="AB45" s="653"/>
      <c r="AC45" s="653"/>
      <c r="AD45" s="653"/>
    </row>
    <row r="46" spans="1:33" x14ac:dyDescent="0.3">
      <c r="B46" s="277"/>
      <c r="C46" s="277"/>
      <c r="D46" s="277"/>
      <c r="E46" s="277"/>
      <c r="F46" s="277"/>
      <c r="G46" s="277"/>
      <c r="H46" s="277"/>
      <c r="I46" s="277"/>
      <c r="J46" s="277"/>
      <c r="K46" s="277"/>
      <c r="L46" s="277"/>
      <c r="M46" s="277"/>
      <c r="N46" s="277"/>
      <c r="O46" s="277"/>
      <c r="P46" s="277"/>
      <c r="Q46" s="312"/>
      <c r="R46" s="277"/>
      <c r="S46" s="277"/>
      <c r="T46" s="277"/>
      <c r="U46" s="277"/>
      <c r="V46" s="277"/>
      <c r="W46" s="277"/>
      <c r="X46" s="277"/>
      <c r="Y46" s="277"/>
      <c r="Z46" s="277"/>
      <c r="AA46" s="277"/>
      <c r="AB46" s="277"/>
      <c r="AC46" s="277"/>
      <c r="AD46" s="277"/>
      <c r="AE46" s="277"/>
      <c r="AF46" s="277"/>
      <c r="AG46" s="277"/>
    </row>
    <row r="47" spans="1:33" x14ac:dyDescent="0.3">
      <c r="A47" s="300"/>
      <c r="B47" s="379" t="s">
        <v>894</v>
      </c>
      <c r="C47" s="380" t="str">
        <f>Development!$B$6&amp;"_"&amp;Development!$B$5</f>
        <v>1.22.2024_2.0</v>
      </c>
      <c r="D47" s="38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1" t="s">
        <v>895</v>
      </c>
      <c r="AG47" s="382" t="str">
        <f>Development!B6</f>
        <v>1.22.2024</v>
      </c>
    </row>
  </sheetData>
  <sheetProtection algorithmName="SHA-512" hashValue="oQGdxAupU49zrKw7lpNLIQgmsfk8bWtbNMSAp3KADp5MSeSfw8qtQh1eRaskgcZ45CzgS4bmNG5gfD4VVKJIyw==" saltValue="3Chf4uE5+3HhKm+poh9JFg==" spinCount="100000" sheet="1" objects="1" scenarios="1"/>
  <dataConsolidate link="1"/>
  <mergeCells count="22">
    <mergeCell ref="O33:R33"/>
    <mergeCell ref="B15:E15"/>
    <mergeCell ref="B31:C31"/>
    <mergeCell ref="O17:U17"/>
    <mergeCell ref="K17:M17"/>
    <mergeCell ref="U5:V6"/>
    <mergeCell ref="C8:E8"/>
    <mergeCell ref="G8:J8"/>
    <mergeCell ref="C13:E13"/>
    <mergeCell ref="C10:E10"/>
    <mergeCell ref="G10:J10"/>
    <mergeCell ref="C11:E11"/>
    <mergeCell ref="G11:J11"/>
    <mergeCell ref="C12:E12"/>
    <mergeCell ref="G12:J12"/>
    <mergeCell ref="B2:M2"/>
    <mergeCell ref="B3:M3"/>
    <mergeCell ref="B33:I33"/>
    <mergeCell ref="C9:E9"/>
    <mergeCell ref="G9:J9"/>
    <mergeCell ref="B17:H17"/>
    <mergeCell ref="K33:M33"/>
  </mergeCells>
  <conditionalFormatting sqref="U5 AH6:AH7">
    <cfRule type="expression" dxfId="25" priority="24" stopIfTrue="1">
      <formula>$AI$6="Total Expected Rebate has been capped at 70% of Total Estimated Cost"</formula>
    </cfRule>
  </conditionalFormatting>
  <conditionalFormatting sqref="U5">
    <cfRule type="expression" dxfId="24" priority="25" stopIfTrue="1">
      <formula>$AJ$11="Ineligible"</formula>
    </cfRule>
  </conditionalFormatting>
  <dataValidations count="6">
    <dataValidation type="list" allowBlank="1" showInputMessage="1" showErrorMessage="1" sqref="G8:J8" xr:uid="{EA3F7B0D-A652-4E6F-949A-6724DD6D9A35}">
      <formula1>BuildingType_List</formula1>
    </dataValidation>
    <dataValidation type="whole" allowBlank="1" showInputMessage="1" showErrorMessage="1" sqref="C20:C29" xr:uid="{B9B4568E-88A7-434A-B577-AC51A2A35942}">
      <formula1>1</formula1>
      <formula2>1000000</formula2>
    </dataValidation>
    <dataValidation type="list" allowBlank="1" showInputMessage="1" showErrorMessage="1" sqref="B36 B37 B38 B39 B40 B41 B42 B43 B44 B45" xr:uid="{50D33A5C-C556-47A6-BC03-A970B6B1B1E4}">
      <formula1>FanType</formula1>
    </dataValidation>
    <dataValidation type="list" allowBlank="1" showInputMessage="1" showErrorMessage="1" sqref="C36 C37 C38 C39 C40 C41 C42 C43 C44 C45" xr:uid="{57C88ECA-2314-47D7-8C94-C09C823E9025}">
      <formula1>Fan_BuildingType</formula1>
    </dataValidation>
    <dataValidation type="list" allowBlank="1" showInputMessage="1" showErrorMessage="1" sqref="O36 O37 O38 O39 O40 O41 O42 O43 O44 O45" xr:uid="{F767B64D-3518-4A1C-BD09-1E63A74D9E04}">
      <formula1>Existing_FanType</formula1>
    </dataValidation>
    <dataValidation type="list" allowBlank="1" showInputMessage="1" showErrorMessage="1" sqref="I36" xr:uid="{543553F9-F3F0-4DEB-8B77-FA70D329F2E4}">
      <formula1>"Yes,No"</formula1>
    </dataValidation>
  </dataValidations>
  <pageMargins left="0.7" right="0.7" top="0.75" bottom="0.75" header="0.3" footer="0.3"/>
  <pageSetup paperSize="5" scale="38"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70" r:id="rId4" name="Group Box 2">
              <controlPr defaultSize="0" autoFill="0" autoPict="0">
                <anchor moveWithCells="1">
                  <from>
                    <xdr:col>21</xdr:col>
                    <xdr:colOff>0</xdr:colOff>
                    <xdr:row>5</xdr:row>
                    <xdr:rowOff>660400</xdr:rowOff>
                  </from>
                  <to>
                    <xdr:col>24</xdr:col>
                    <xdr:colOff>450850</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93DDE3C2-BA30-4CC7-8E0E-951E5B840C3A}">
          <x14:formula1>
            <xm:f>References!$F$149:$F$150</xm:f>
          </x14:formula1>
          <xm:sqref>B20:B29</xm:sqref>
        </x14:dataValidation>
        <x14:dataValidation type="list" allowBlank="1" showInputMessage="1" showErrorMessage="1" xr:uid="{B77704EF-31E8-46BE-BBF1-CFA79B9E21C5}">
          <x14:formula1>
            <xm:f>References!$E$149:$E$154</xm:f>
          </x14:formula1>
          <xm:sqref>P19:P29</xm:sqref>
        </x14:dataValidation>
        <x14:dataValidation type="list" allowBlank="1" showInputMessage="1" showErrorMessage="1" xr:uid="{D8EB9239-A562-482D-9F10-580CE34EAABF}">
          <x14:formula1>
            <xm:f>References!$G$149:$G$157</xm:f>
          </x14:formula1>
          <xm:sqref>B35</xm:sqref>
        </x14:dataValidation>
        <x14:dataValidation type="list" allowBlank="1" showInputMessage="1" showErrorMessage="1" xr:uid="{B64F997C-BDDF-4BAD-9ED7-B86FC0549E1C}">
          <x14:formula1>
            <xm:f>References!$H$149:$H$150</xm:f>
          </x14:formula1>
          <xm:sqref>C35</xm:sqref>
        </x14:dataValidation>
        <x14:dataValidation type="list" allowBlank="1" showInputMessage="1" showErrorMessage="1" xr:uid="{9502BCCE-D6A3-4224-BEDC-9E2B9E4F2D40}">
          <x14:formula1>
            <xm:f>References!$D$149:$D$151</xm:f>
          </x14:formula1>
          <xm:sqref>O19:O29</xm:sqref>
        </x14:dataValidation>
        <x14:dataValidation type="list" allowBlank="1" showInputMessage="1" showErrorMessage="1" xr:uid="{AC1352FE-C48F-433F-8D6D-71ABB2ADE7FC}">
          <x14:formula1>
            <xm:f>References!$G$170:$G$176</xm:f>
          </x14:formula1>
          <xm:sqref>H20:H29</xm:sqref>
        </x14:dataValidation>
        <x14:dataValidation type="list" allowBlank="1" showInputMessage="1" showErrorMessage="1" xr:uid="{7B22735E-23CF-42A4-A188-BEDACAC7BCA8}">
          <x14:formula1>
            <xm:f>References!$I$149:$I$152</xm:f>
          </x14:formula1>
          <xm:sqref>Q19:Q29</xm:sqref>
        </x14:dataValidation>
        <x14:dataValidation type="list" allowBlank="1" showInputMessage="1" showErrorMessage="1" xr:uid="{C38F35E9-AAF5-4C44-AD4F-3AAA6D7BEE47}">
          <x14:formula1>
            <xm:f>References!$I$153:$I$153</xm:f>
          </x14:formula1>
          <xm:sqref>O35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CC8C-BA7B-4638-818F-A5D272E8FD44}">
  <sheetPr codeName="Sheet16">
    <pageSetUpPr fitToPage="1"/>
  </sheetPr>
  <dimension ref="A1:AM53"/>
  <sheetViews>
    <sheetView showGridLines="0" zoomScaleNormal="100" workbookViewId="0">
      <selection activeCell="B20" sqref="B20"/>
    </sheetView>
  </sheetViews>
  <sheetFormatPr defaultColWidth="16.54296875" defaultRowHeight="14" x14ac:dyDescent="0.3"/>
  <cols>
    <col min="1" max="1" width="3.54296875" style="2" customWidth="1"/>
    <col min="2" max="2" width="38.81640625" style="2" bestFit="1" customWidth="1"/>
    <col min="3" max="3" width="33.453125" style="2" hidden="1" customWidth="1"/>
    <col min="4" max="4" width="26.1796875" style="2" hidden="1" customWidth="1"/>
    <col min="5" max="5" width="19.453125" style="2" hidden="1" customWidth="1"/>
    <col min="6" max="6" width="23.54296875" style="2" customWidth="1"/>
    <col min="7" max="8" width="15.453125" style="2" customWidth="1"/>
    <col min="9" max="9" width="13.54296875" style="2" bestFit="1" customWidth="1"/>
    <col min="10" max="10" width="14.1796875" style="2" customWidth="1"/>
    <col min="11" max="11" width="12.1796875" style="2" customWidth="1"/>
    <col min="12" max="13" width="10.26953125" style="2" customWidth="1"/>
    <col min="14" max="14" width="8.54296875" style="2" hidden="1" customWidth="1"/>
    <col min="15" max="15" width="2.54296875" style="2" customWidth="1"/>
    <col min="16" max="17" width="12.54296875" style="2" customWidth="1"/>
    <col min="18" max="18" width="2.54296875" style="2" customWidth="1"/>
    <col min="19" max="20" width="11" style="2" customWidth="1"/>
    <col min="21" max="21" width="11.81640625" style="2" customWidth="1"/>
    <col min="22" max="22" width="17.453125" style="2" hidden="1" customWidth="1"/>
    <col min="23" max="23" width="2.54296875" style="2" customWidth="1"/>
    <col min="24" max="24" width="18.54296875" style="2" customWidth="1"/>
    <col min="25" max="25" width="15" style="2" customWidth="1"/>
    <col min="26" max="26" width="18.54296875" style="2" hidden="1" customWidth="1"/>
    <col min="27" max="27" width="12.1796875" style="2" customWidth="1"/>
    <col min="28" max="28" width="15" style="2" customWidth="1"/>
    <col min="29" max="29" width="10.1796875" style="2" customWidth="1"/>
    <col min="30" max="31" width="10" style="2" customWidth="1"/>
    <col min="32" max="32" width="8.54296875" style="2" customWidth="1"/>
    <col min="33" max="33" width="2.54296875" style="2" customWidth="1"/>
    <col min="34" max="34" width="31.1796875" style="2" customWidth="1"/>
    <col min="35" max="35" width="23.453125" style="2" customWidth="1"/>
    <col min="36" max="36" width="21" style="2" hidden="1" customWidth="1"/>
    <col min="37" max="37" width="9" style="2" hidden="1" customWidth="1"/>
    <col min="38" max="38" width="11.453125" style="2" hidden="1" customWidth="1"/>
    <col min="39" max="40" width="16.54296875" style="2" customWidth="1"/>
    <col min="41" max="16384" width="16.54296875" style="2"/>
  </cols>
  <sheetData>
    <row r="1" spans="1:39" s="632" customFormat="1" x14ac:dyDescent="0.3">
      <c r="A1" s="641"/>
    </row>
    <row r="2" spans="1:39" s="632" customFormat="1" ht="60" customHeight="1" x14ac:dyDescent="0.3">
      <c r="B2" s="1108" t="str">
        <f>Development!B2</f>
        <v>Commercial Efficiency Program</v>
      </c>
      <c r="C2" s="1108"/>
      <c r="D2" s="1108"/>
      <c r="E2" s="1108"/>
      <c r="F2" s="1108"/>
      <c r="G2" s="1108"/>
      <c r="H2" s="1108"/>
      <c r="I2" s="1108"/>
      <c r="J2" s="1108"/>
      <c r="K2" s="1108"/>
      <c r="L2" s="1108"/>
      <c r="M2" s="1108"/>
      <c r="N2" s="1108"/>
      <c r="O2" s="1108"/>
      <c r="P2" s="1108"/>
      <c r="Q2" s="1108"/>
      <c r="R2" s="1108"/>
      <c r="S2" s="1108"/>
      <c r="T2" s="1108"/>
      <c r="U2" s="642"/>
      <c r="V2" s="642"/>
      <c r="W2" s="642"/>
      <c r="X2" s="642"/>
      <c r="Y2" s="642"/>
      <c r="Z2" s="642"/>
      <c r="AA2" s="642"/>
      <c r="AB2" s="636"/>
      <c r="AC2" s="636"/>
      <c r="AD2" s="636"/>
      <c r="AE2" s="636"/>
      <c r="AF2" s="636"/>
      <c r="AG2" s="636"/>
      <c r="AH2" s="636"/>
    </row>
    <row r="3" spans="1:39" s="635" customFormat="1" ht="60" customHeight="1" thickBot="1" x14ac:dyDescent="0.35">
      <c r="B3" s="1109" t="str">
        <f>"     "&amp;" Small Business Whole Building HVAC Worksheet, Version"&amp;" "&amp;Development!B5</f>
        <v xml:space="preserve">      Small Business Whole Building HVAC Worksheet, Version 2.0</v>
      </c>
      <c r="C3" s="1109"/>
      <c r="D3" s="1109"/>
      <c r="E3" s="1109"/>
      <c r="F3" s="1109"/>
      <c r="G3" s="1109"/>
      <c r="H3" s="1109"/>
      <c r="I3" s="1109"/>
      <c r="J3" s="1109"/>
      <c r="K3" s="1109"/>
      <c r="L3" s="1109"/>
      <c r="M3" s="1109"/>
      <c r="N3" s="1109"/>
      <c r="O3" s="1109"/>
      <c r="P3" s="1109"/>
      <c r="Q3" s="1109"/>
      <c r="R3" s="1109"/>
      <c r="S3" s="1109"/>
      <c r="T3" s="1109"/>
      <c r="U3" s="629"/>
      <c r="V3" s="629"/>
      <c r="W3" s="629"/>
      <c r="X3" s="629"/>
      <c r="Y3" s="629"/>
      <c r="Z3" s="629"/>
      <c r="AA3" s="629"/>
      <c r="AB3" s="643"/>
      <c r="AC3" s="643"/>
      <c r="AD3" s="643"/>
      <c r="AE3" s="643"/>
      <c r="AF3" s="643"/>
      <c r="AG3" s="643"/>
      <c r="AH3" s="643"/>
    </row>
    <row r="4" spans="1:39" ht="22.4" customHeight="1" thickTop="1" x14ac:dyDescent="0.4">
      <c r="B4" s="273" t="s">
        <v>781</v>
      </c>
      <c r="C4" s="272" t="str">
        <f>Development!B6</f>
        <v>1.22.2024</v>
      </c>
      <c r="D4" s="272"/>
      <c r="F4" s="606" t="str">
        <f>Development!B6</f>
        <v>1.22.2024</v>
      </c>
      <c r="AK4" s="556"/>
    </row>
    <row r="5" spans="1:39" ht="16.5" customHeight="1" x14ac:dyDescent="0.35">
      <c r="B5" s="758" t="s">
        <v>1890</v>
      </c>
      <c r="AJ5" s="586"/>
      <c r="AK5" s="584"/>
    </row>
    <row r="6" spans="1:39" ht="16.5" customHeight="1" x14ac:dyDescent="0.35">
      <c r="B6" s="2" t="s">
        <v>1946</v>
      </c>
      <c r="C6" s="538"/>
      <c r="D6" s="538"/>
      <c r="E6" s="538"/>
      <c r="AJ6" s="587"/>
      <c r="AK6" s="540"/>
    </row>
    <row r="7" spans="1:39" ht="16.5" customHeight="1" x14ac:dyDescent="0.35">
      <c r="B7" s="475" t="s">
        <v>2189</v>
      </c>
      <c r="C7" s="538"/>
      <c r="D7" s="538"/>
      <c r="E7" s="538"/>
      <c r="AJ7" s="622"/>
      <c r="AK7" s="585"/>
    </row>
    <row r="8" spans="1:39" ht="16.5" customHeight="1" x14ac:dyDescent="0.35">
      <c r="B8" s="538" t="s">
        <v>1891</v>
      </c>
      <c r="C8" s="538"/>
      <c r="D8" s="538"/>
      <c r="E8" s="538"/>
      <c r="F8" s="538"/>
      <c r="G8" s="538"/>
      <c r="H8" s="538"/>
      <c r="I8" s="538"/>
      <c r="AH8" s="1104" t="s">
        <v>820</v>
      </c>
      <c r="AI8" s="1105"/>
      <c r="AJ8" s="282"/>
      <c r="AK8" s="540"/>
      <c r="AM8" s="585"/>
    </row>
    <row r="9" spans="1:39" ht="15.75" customHeight="1" x14ac:dyDescent="0.35">
      <c r="B9" s="537" t="s">
        <v>1892</v>
      </c>
      <c r="C9" s="538"/>
      <c r="D9" s="538"/>
      <c r="E9" s="538"/>
      <c r="F9" s="1"/>
      <c r="G9" s="605"/>
      <c r="H9" s="605"/>
      <c r="I9" s="605"/>
      <c r="AH9" s="1106"/>
      <c r="AI9" s="1107"/>
      <c r="AJ9" s="280"/>
      <c r="AK9" s="540"/>
      <c r="AL9" s="2" t="str">
        <f>IF(OR(B15="",B15=0),"FAIL","PASS")</f>
        <v>FAIL</v>
      </c>
      <c r="AM9" s="585"/>
    </row>
    <row r="10" spans="1:39" ht="20.25" customHeight="1" x14ac:dyDescent="0.35">
      <c r="B10" s="602" t="s">
        <v>1893</v>
      </c>
      <c r="C10" s="538"/>
      <c r="D10" s="538"/>
      <c r="E10" s="538"/>
      <c r="F10" s="1"/>
      <c r="G10" s="569"/>
      <c r="H10" s="569"/>
      <c r="I10" s="569"/>
      <c r="AH10" s="284" t="s">
        <v>821</v>
      </c>
      <c r="AI10" s="593">
        <f>IF(Summary!H96=0,"",SUMIF(Calculations!$BB$40:$BB$64,"&lt;10E50"))</f>
        <v>0</v>
      </c>
      <c r="AJ10" s="280"/>
      <c r="AK10" s="540"/>
      <c r="AM10" s="585"/>
    </row>
    <row r="11" spans="1:39" ht="22.5" customHeight="1" x14ac:dyDescent="0.35">
      <c r="B11" s="602" t="s">
        <v>1713</v>
      </c>
      <c r="C11" s="538"/>
      <c r="D11" s="538"/>
      <c r="E11" s="538"/>
      <c r="F11" s="1"/>
      <c r="G11" s="603" t="s">
        <v>1714</v>
      </c>
      <c r="H11" s="603"/>
      <c r="I11" s="603"/>
      <c r="AH11" s="285" t="s">
        <v>822</v>
      </c>
      <c r="AI11" s="594">
        <f>IF(Summary!I96=0,"",SUMIF(Calculations!$BR$40:$BR$64,"&lt;10E50"))</f>
        <v>0</v>
      </c>
      <c r="AJ11" s="281"/>
      <c r="AK11" s="540"/>
      <c r="AM11" s="585"/>
    </row>
    <row r="12" spans="1:39" ht="22.5" customHeight="1" x14ac:dyDescent="0.35">
      <c r="B12" s="1110" t="s">
        <v>1397</v>
      </c>
      <c r="C12" s="1111"/>
      <c r="D12" s="1111"/>
      <c r="E12" s="1111"/>
      <c r="F12" s="1111"/>
      <c r="G12" s="1111"/>
      <c r="H12" s="1111"/>
      <c r="I12" s="1111"/>
      <c r="J12" s="1111"/>
      <c r="K12" s="1111"/>
      <c r="L12" s="1111"/>
      <c r="M12" s="1111"/>
      <c r="N12" s="570"/>
      <c r="AH12" s="285" t="s">
        <v>1686</v>
      </c>
      <c r="AI12" s="597">
        <f>IF(Summary!J96=0,"",SUMIF(Calculations!$BQ$40:$BQ$64,"&lt;10E50"))</f>
        <v>0</v>
      </c>
      <c r="AJ12" s="279"/>
      <c r="AK12" s="540"/>
      <c r="AL12" s="274" t="e">
        <f>IF(AI13=0,"",AI14/AI13)</f>
        <v>#VALUE!</v>
      </c>
      <c r="AM12" s="585"/>
    </row>
    <row r="13" spans="1:39" ht="27" customHeight="1" x14ac:dyDescent="0.35">
      <c r="B13" s="541" t="s">
        <v>1398</v>
      </c>
      <c r="D13" s="542"/>
      <c r="E13" s="542"/>
      <c r="F13" s="541" t="s">
        <v>23</v>
      </c>
      <c r="G13" s="1114" t="s">
        <v>1405</v>
      </c>
      <c r="H13" s="1114"/>
      <c r="I13" s="1114"/>
      <c r="J13" s="1112" t="s">
        <v>1220</v>
      </c>
      <c r="K13" s="1113"/>
      <c r="L13" s="1112" t="s">
        <v>1622</v>
      </c>
      <c r="M13" s="1113"/>
      <c r="N13" s="541"/>
      <c r="R13" s="31" t="s">
        <v>1369</v>
      </c>
      <c r="S13" s="1100" t="str">
        <f>IF('Customer Information'!C16="","",'Customer Information'!C16)</f>
        <v>Select …</v>
      </c>
      <c r="T13" s="1100"/>
      <c r="U13" s="1100"/>
      <c r="AH13" s="286" t="s">
        <v>808</v>
      </c>
      <c r="AI13" s="595" t="str">
        <f>IF(SUM(AI20:AI44)=0,"",SUM(AI20:AI44)+L15)</f>
        <v/>
      </c>
      <c r="AJ13" s="588"/>
      <c r="AM13" s="585"/>
    </row>
    <row r="14" spans="1:39" ht="19.5" customHeight="1" x14ac:dyDescent="0.35">
      <c r="B14" s="6" t="s">
        <v>1408</v>
      </c>
      <c r="D14" s="6"/>
      <c r="E14" s="6"/>
      <c r="F14" s="614" t="s">
        <v>1413</v>
      </c>
      <c r="G14" s="1121" t="s">
        <v>1434</v>
      </c>
      <c r="H14" s="1121"/>
      <c r="I14" s="1121"/>
      <c r="J14" s="1115" t="s">
        <v>1475</v>
      </c>
      <c r="K14" s="1116"/>
      <c r="L14" s="1115"/>
      <c r="M14" s="1116"/>
      <c r="N14" s="6"/>
      <c r="AH14" s="591" t="s">
        <v>1042</v>
      </c>
      <c r="AI14" s="596" t="str">
        <f>IF(SUM(AI20:AI44)=0,"",IF(Summary!K96="","",MIN((SUM(U20:U44)*0.7)+L15,SUMIF(Calculations!BT40:BT64,"&lt;10E50")+L15)))</f>
        <v/>
      </c>
      <c r="AM14" s="585"/>
    </row>
    <row r="15" spans="1:39" ht="19.5" customHeight="1" x14ac:dyDescent="0.3">
      <c r="B15" s="344"/>
      <c r="D15" s="344"/>
      <c r="E15" s="344"/>
      <c r="F15" s="572"/>
      <c r="G15" s="1122"/>
      <c r="H15" s="1122"/>
      <c r="I15" s="1122"/>
      <c r="J15" s="1119"/>
      <c r="K15" s="1120"/>
      <c r="L15" s="1123">
        <f>IF(AND(OR(B15="",B15="No Fossil Fuel Heating"),F15="",G15="",J15=""),0,References!$BI$45)</f>
        <v>0</v>
      </c>
      <c r="M15" s="1124"/>
      <c r="N15" s="345"/>
    </row>
    <row r="16" spans="1:39" ht="15.5" x14ac:dyDescent="0.35">
      <c r="B16" s="548" t="str">
        <f>IF(AL9="PASS","","*Please Enter Integrated Controls Information Above*")</f>
        <v>*Please Enter Integrated Controls Information Above*</v>
      </c>
      <c r="C16" s="1"/>
      <c r="D16" s="1"/>
      <c r="E16" s="1"/>
      <c r="F16" s="1"/>
      <c r="G16" s="1"/>
      <c r="H16" s="1"/>
      <c r="I16" s="1"/>
      <c r="AH16" s="548" t="str">
        <f>IF(OR(BuildingType="",BuildingType="… please select …"),"*Please enter a Building Type*","")</f>
        <v/>
      </c>
    </row>
    <row r="17" spans="1:39" x14ac:dyDescent="0.3">
      <c r="B17" s="1110" t="s">
        <v>46</v>
      </c>
      <c r="C17" s="1111"/>
      <c r="D17" s="1111"/>
      <c r="E17" s="1111"/>
      <c r="F17" s="1111"/>
      <c r="G17" s="1111"/>
      <c r="H17" s="1111"/>
      <c r="I17" s="1111"/>
      <c r="J17" s="1111"/>
      <c r="K17" s="1111"/>
      <c r="L17" s="1111"/>
      <c r="M17" s="1111"/>
      <c r="N17" s="1118"/>
      <c r="O17" s="256"/>
      <c r="P17" s="1117" t="s">
        <v>1394</v>
      </c>
      <c r="Q17" s="1117"/>
      <c r="R17" s="539"/>
      <c r="S17" s="1110" t="s">
        <v>637</v>
      </c>
      <c r="T17" s="1111"/>
      <c r="U17" s="1118"/>
      <c r="V17" s="287"/>
      <c r="W17" s="250"/>
      <c r="X17" s="1110" t="s">
        <v>45</v>
      </c>
      <c r="Y17" s="1111"/>
      <c r="Z17" s="1111"/>
      <c r="AA17" s="1111"/>
      <c r="AB17" s="1111"/>
      <c r="AC17" s="1111"/>
      <c r="AD17" s="1111"/>
      <c r="AE17" s="1111"/>
      <c r="AF17" s="1118"/>
      <c r="AG17" s="250"/>
      <c r="AH17" s="1110"/>
      <c r="AI17" s="1111"/>
      <c r="AJ17" s="1118"/>
      <c r="AM17" s="585"/>
    </row>
    <row r="18" spans="1:39" s="271" customFormat="1" ht="42.75" customHeight="1" x14ac:dyDescent="0.3">
      <c r="A18" s="2"/>
      <c r="B18" s="276" t="s">
        <v>9</v>
      </c>
      <c r="C18" s="276" t="s">
        <v>24</v>
      </c>
      <c r="D18" s="536"/>
      <c r="E18" s="536" t="s">
        <v>10</v>
      </c>
      <c r="F18" s="276" t="s">
        <v>23</v>
      </c>
      <c r="G18" s="276" t="s">
        <v>1220</v>
      </c>
      <c r="H18" s="276" t="s">
        <v>1404</v>
      </c>
      <c r="I18" s="276" t="s">
        <v>1652</v>
      </c>
      <c r="J18" s="276" t="s">
        <v>1817</v>
      </c>
      <c r="K18" s="276" t="s">
        <v>927</v>
      </c>
      <c r="L18" s="276" t="s">
        <v>27</v>
      </c>
      <c r="M18" s="276" t="s">
        <v>101</v>
      </c>
      <c r="N18" s="276" t="s">
        <v>100</v>
      </c>
      <c r="O18" s="257"/>
      <c r="P18" s="276" t="s">
        <v>1395</v>
      </c>
      <c r="Q18" s="276" t="s">
        <v>1396</v>
      </c>
      <c r="R18" s="257"/>
      <c r="S18" s="276" t="s">
        <v>638</v>
      </c>
      <c r="T18" s="276" t="s">
        <v>639</v>
      </c>
      <c r="U18" s="276" t="s">
        <v>640</v>
      </c>
      <c r="V18" s="288"/>
      <c r="W18" s="251"/>
      <c r="X18" s="276" t="s">
        <v>1778</v>
      </c>
      <c r="Y18" s="276" t="s">
        <v>1779</v>
      </c>
      <c r="Z18" s="276"/>
      <c r="AA18" s="276" t="s">
        <v>1868</v>
      </c>
      <c r="AB18" s="276" t="s">
        <v>1342</v>
      </c>
      <c r="AC18" s="276" t="s">
        <v>1343</v>
      </c>
      <c r="AD18" s="276" t="s">
        <v>1344</v>
      </c>
      <c r="AE18" s="276" t="s">
        <v>1345</v>
      </c>
      <c r="AF18" s="276" t="s">
        <v>1291</v>
      </c>
      <c r="AG18" s="251"/>
      <c r="AH18" s="276" t="s">
        <v>1046</v>
      </c>
      <c r="AI18" s="276" t="s">
        <v>1399</v>
      </c>
      <c r="AJ18" s="276" t="s">
        <v>1400</v>
      </c>
    </row>
    <row r="19" spans="1:39" ht="20.149999999999999" customHeight="1" x14ac:dyDescent="0.3">
      <c r="A19" s="4" t="s">
        <v>66</v>
      </c>
      <c r="B19" s="6" t="s">
        <v>1376</v>
      </c>
      <c r="C19" s="6" t="s">
        <v>90</v>
      </c>
      <c r="D19" s="6"/>
      <c r="E19" s="6" t="s">
        <v>11</v>
      </c>
      <c r="F19" s="6" t="s">
        <v>324</v>
      </c>
      <c r="G19" s="6" t="s">
        <v>538</v>
      </c>
      <c r="H19" s="6">
        <v>5593485</v>
      </c>
      <c r="I19" s="607">
        <v>36000</v>
      </c>
      <c r="J19" s="607">
        <v>36000</v>
      </c>
      <c r="K19" s="6">
        <v>18</v>
      </c>
      <c r="L19" s="6">
        <v>13</v>
      </c>
      <c r="M19" s="6">
        <v>10</v>
      </c>
      <c r="N19" s="6"/>
      <c r="O19" s="252"/>
      <c r="P19" s="608">
        <v>34000</v>
      </c>
      <c r="Q19" s="608">
        <v>36000</v>
      </c>
      <c r="R19" s="252"/>
      <c r="S19" s="258">
        <v>5000</v>
      </c>
      <c r="T19" s="258">
        <v>1500</v>
      </c>
      <c r="U19" s="258">
        <v>6500</v>
      </c>
      <c r="V19" s="258"/>
      <c r="W19" s="251"/>
      <c r="X19" s="6" t="s">
        <v>179</v>
      </c>
      <c r="Y19" s="6" t="s">
        <v>1278</v>
      </c>
      <c r="Z19" s="6"/>
      <c r="AA19" s="6"/>
      <c r="AB19" s="613">
        <v>13</v>
      </c>
      <c r="AC19" s="613">
        <v>10</v>
      </c>
      <c r="AD19" s="613">
        <v>8</v>
      </c>
      <c r="AE19" s="613">
        <v>1</v>
      </c>
      <c r="AF19" s="612">
        <v>0.8</v>
      </c>
      <c r="AG19" s="252"/>
      <c r="AH19" s="6"/>
      <c r="AI19" s="133"/>
      <c r="AJ19" s="133"/>
    </row>
    <row r="20" spans="1:39" ht="20.149999999999999" customHeight="1" x14ac:dyDescent="0.3">
      <c r="A20" s="2">
        <v>1</v>
      </c>
      <c r="B20" s="344"/>
      <c r="C20" s="571" t="str">
        <f>IF(B20="","","All Sizes")</f>
        <v/>
      </c>
      <c r="D20" s="344" t="str">
        <f>IF(OR(B20="",C20=""),"",INDEX(References!$U$4:$U$44,MATCH(Calculations!I40,References!$T$4:$T$44,0)))</f>
        <v/>
      </c>
      <c r="E20" s="344" t="str">
        <f>IF(B20="","","All Types")</f>
        <v/>
      </c>
      <c r="F20" s="344"/>
      <c r="G20" s="344"/>
      <c r="H20" s="344"/>
      <c r="I20" s="610"/>
      <c r="J20" s="610"/>
      <c r="K20" s="344"/>
      <c r="L20" s="344"/>
      <c r="M20" s="345"/>
      <c r="N20" s="345"/>
      <c r="O20" s="252"/>
      <c r="P20" s="609"/>
      <c r="Q20" s="609"/>
      <c r="R20" s="252"/>
      <c r="S20" s="283"/>
      <c r="T20" s="283"/>
      <c r="U20" s="470" t="str">
        <f t="shared" ref="U20:U44" si="0">IF(OR(S20="",T20=""),"",T20+S20)</f>
        <v/>
      </c>
      <c r="V20" s="471" t="str">
        <f>IF(OR(J20="",U20=""),"",U20*J20)</f>
        <v/>
      </c>
      <c r="W20" s="251"/>
      <c r="X20" s="344"/>
      <c r="Y20" s="344"/>
      <c r="Z20" s="344" t="str">
        <f>IF(OR(B20="",C20=""),"",INDEX(References!$V$4:$V$44,MATCH(Calculations!$I40,References!$T$4:$T$44,0)))</f>
        <v/>
      </c>
      <c r="AA20" s="344"/>
      <c r="AB20" s="345"/>
      <c r="AC20" s="344"/>
      <c r="AD20" s="598"/>
      <c r="AE20" s="598"/>
      <c r="AF20" s="599"/>
      <c r="AG20" s="252"/>
      <c r="AH20" s="7" t="str">
        <f>IF(OR(ISERROR(Calculations!AF40),Calculations!C40=""),"",Calculations!AF40)</f>
        <v/>
      </c>
      <c r="AI20" s="134" t="str">
        <f>IF(OR(J20="",X20="",Y20="",U20="",$AL$9="FAIL"),"",Calculations!BT40)</f>
        <v/>
      </c>
      <c r="AJ20" s="134" t="str">
        <f>IF(OR(K20="",Y20="",Z20="",V20="",$AL$9="FAIL"),"",Calculations!BU40)</f>
        <v/>
      </c>
      <c r="AK20" s="275" t="str">
        <f>IF(AI20="","",AI20*AL$12)</f>
        <v/>
      </c>
      <c r="AL20" s="275" t="str">
        <f>IF(AK20="","",AK20/J20)</f>
        <v/>
      </c>
      <c r="AM20" s="623" t="str">
        <f>IF(AND(OR(X20="",Y20=""),AH20="PASS"),"*Please enter Existing Equipment Type. Enter ''None'' for New Construction.*","")</f>
        <v/>
      </c>
    </row>
    <row r="21" spans="1:39" ht="20.149999999999999" customHeight="1" x14ac:dyDescent="0.3">
      <c r="A21" s="3">
        <v>2</v>
      </c>
      <c r="B21" s="344"/>
      <c r="C21" s="571" t="str">
        <f t="shared" ref="C21:C44" si="1">IF(B21="","","All Sizes")</f>
        <v/>
      </c>
      <c r="D21" s="344" t="str">
        <f>IF(OR(B21="",C21=""),"",INDEX(References!$U$4:$U$44,MATCH(Calculations!I41,References!$T$4:$T$44,0)))</f>
        <v/>
      </c>
      <c r="E21" s="344" t="str">
        <f t="shared" ref="E21:E44" si="2">IF(B21="","","All Types")</f>
        <v/>
      </c>
      <c r="F21" s="344"/>
      <c r="G21" s="344"/>
      <c r="H21" s="344"/>
      <c r="I21" s="610"/>
      <c r="J21" s="610"/>
      <c r="K21" s="344"/>
      <c r="L21" s="344"/>
      <c r="M21" s="345"/>
      <c r="N21" s="345"/>
      <c r="O21" s="252"/>
      <c r="P21" s="609"/>
      <c r="Q21" s="609"/>
      <c r="R21" s="252"/>
      <c r="S21" s="283"/>
      <c r="T21" s="283"/>
      <c r="U21" s="470" t="str">
        <f t="shared" si="0"/>
        <v/>
      </c>
      <c r="V21" s="471" t="str">
        <f t="shared" ref="V21:V44" si="3">IF(OR(J21="",U21=""),"",U21*J21)</f>
        <v/>
      </c>
      <c r="W21" s="251"/>
      <c r="X21" s="344"/>
      <c r="Y21" s="344"/>
      <c r="Z21" s="344" t="str">
        <f>IF(OR(B21="",C21=""),"",INDEX(References!$V$4:$V$44,MATCH(Calculations!$I41,References!$T$4:$T$44,0)))</f>
        <v/>
      </c>
      <c r="AA21" s="344"/>
      <c r="AB21" s="345"/>
      <c r="AC21" s="344"/>
      <c r="AD21" s="598"/>
      <c r="AE21" s="598"/>
      <c r="AF21" s="599"/>
      <c r="AG21" s="252"/>
      <c r="AH21" s="7" t="str">
        <f>IF(OR(ISERROR(Calculations!AF41),Calculations!C41=""),"",Calculations!AF41)</f>
        <v/>
      </c>
      <c r="AI21" s="134" t="str">
        <f>IF(OR(J21="",X21="",Y21="",U21="",$AL$9="FAIL"),"",Calculations!BT41)</f>
        <v/>
      </c>
      <c r="AJ21" s="134" t="str">
        <f>IF(OR(K21="",Y21="",Z21="",V21="",$AL$9="FAIL"),"",Calculations!BU41)</f>
        <v/>
      </c>
      <c r="AK21" s="275" t="str">
        <f t="shared" ref="AK21:AK44" si="4">IF(AI21="","",AI21*AL$12)</f>
        <v/>
      </c>
      <c r="AL21" s="275" t="str">
        <f t="shared" ref="AL21:AL44" si="5">IF(AK21="","",AK21/J21)</f>
        <v/>
      </c>
      <c r="AM21" s="623" t="str">
        <f t="shared" ref="AM21:AM44" si="6">IF(AND(OR(X21="",Y21=""),AH21="PASS"),"*Please enter Existing Equipment Type. Enter ''None'' for New Construction.*","")</f>
        <v/>
      </c>
    </row>
    <row r="22" spans="1:39" ht="20.149999999999999" customHeight="1" x14ac:dyDescent="0.3">
      <c r="A22" s="3">
        <v>3</v>
      </c>
      <c r="B22" s="344"/>
      <c r="C22" s="571" t="str">
        <f t="shared" si="1"/>
        <v/>
      </c>
      <c r="D22" s="344" t="str">
        <f>IF(OR(B22="",C22=""),"",INDEX(References!$U$4:$U$44,MATCH(Calculations!I42,References!$T$4:$T$44,0)))</f>
        <v/>
      </c>
      <c r="E22" s="344" t="str">
        <f t="shared" si="2"/>
        <v/>
      </c>
      <c r="F22" s="344"/>
      <c r="G22" s="344"/>
      <c r="H22" s="344"/>
      <c r="I22" s="610"/>
      <c r="J22" s="610"/>
      <c r="K22" s="344"/>
      <c r="L22" s="344"/>
      <c r="M22" s="345"/>
      <c r="N22" s="345"/>
      <c r="O22" s="252"/>
      <c r="P22" s="609"/>
      <c r="Q22" s="609"/>
      <c r="R22" s="252"/>
      <c r="S22" s="283"/>
      <c r="T22" s="283"/>
      <c r="U22" s="470" t="str">
        <f t="shared" si="0"/>
        <v/>
      </c>
      <c r="V22" s="471" t="str">
        <f t="shared" si="3"/>
        <v/>
      </c>
      <c r="W22" s="251"/>
      <c r="X22" s="344"/>
      <c r="Y22" s="344"/>
      <c r="Z22" s="344" t="str">
        <f>IF(OR(B22="",C22=""),"",INDEX(References!$V$4:$V$44,MATCH(Calculations!$I42,References!$T$4:$T$44,0)))</f>
        <v/>
      </c>
      <c r="AA22" s="344"/>
      <c r="AB22" s="345"/>
      <c r="AC22" s="344"/>
      <c r="AD22" s="598"/>
      <c r="AE22" s="598"/>
      <c r="AF22" s="599"/>
      <c r="AG22" s="252"/>
      <c r="AH22" s="7" t="str">
        <f>IF(OR(ISERROR(Calculations!AF42),Calculations!C42=""),"",Calculations!AF42)</f>
        <v/>
      </c>
      <c r="AI22" s="134" t="str">
        <f>IF(OR(J22="",X22="",Y22="",U22="",$AL$9="FAIL"),"",Calculations!BT42)</f>
        <v/>
      </c>
      <c r="AJ22" s="134" t="str">
        <f>IF(OR(K22="",Y22="",Z22="",V22="",$AL$9="FAIL"),"",Calculations!BU42)</f>
        <v/>
      </c>
      <c r="AK22" s="275" t="str">
        <f t="shared" si="4"/>
        <v/>
      </c>
      <c r="AL22" s="275" t="str">
        <f t="shared" si="5"/>
        <v/>
      </c>
      <c r="AM22" s="623" t="str">
        <f t="shared" si="6"/>
        <v/>
      </c>
    </row>
    <row r="23" spans="1:39" ht="20.149999999999999" customHeight="1" x14ac:dyDescent="0.3">
      <c r="A23" s="3">
        <v>4</v>
      </c>
      <c r="B23" s="344"/>
      <c r="C23" s="571" t="str">
        <f t="shared" si="1"/>
        <v/>
      </c>
      <c r="D23" s="344" t="str">
        <f>IF(OR(B23="",C23=""),"",INDEX(References!$U$4:$U$44,MATCH(Calculations!I43,References!$T$4:$T$44,0)))</f>
        <v/>
      </c>
      <c r="E23" s="344" t="str">
        <f t="shared" si="2"/>
        <v/>
      </c>
      <c r="F23" s="344"/>
      <c r="G23" s="344"/>
      <c r="H23" s="344"/>
      <c r="I23" s="610"/>
      <c r="J23" s="610"/>
      <c r="K23" s="344"/>
      <c r="L23" s="344"/>
      <c r="M23" s="345"/>
      <c r="N23" s="345"/>
      <c r="O23" s="252"/>
      <c r="P23" s="609"/>
      <c r="Q23" s="609"/>
      <c r="R23" s="252"/>
      <c r="S23" s="283"/>
      <c r="T23" s="283"/>
      <c r="U23" s="470" t="str">
        <f t="shared" si="0"/>
        <v/>
      </c>
      <c r="V23" s="471" t="str">
        <f t="shared" si="3"/>
        <v/>
      </c>
      <c r="W23" s="251"/>
      <c r="X23" s="344"/>
      <c r="Y23" s="344"/>
      <c r="Z23" s="344" t="str">
        <f>IF(OR(B23="",C23=""),"",INDEX(References!$V$4:$V$44,MATCH(Calculations!$I43,References!$T$4:$T$44,0)))</f>
        <v/>
      </c>
      <c r="AA23" s="344"/>
      <c r="AB23" s="345"/>
      <c r="AC23" s="344"/>
      <c r="AD23" s="598"/>
      <c r="AE23" s="598"/>
      <c r="AF23" s="599"/>
      <c r="AG23" s="252"/>
      <c r="AH23" s="7" t="str">
        <f>IF(OR(ISERROR(Calculations!AF43),Calculations!C43=""),"",Calculations!AF43)</f>
        <v/>
      </c>
      <c r="AI23" s="134" t="str">
        <f>IF(OR(J23="",X23="",Y23="",U23="",$AL$9="FAIL"),"",Calculations!BT43)</f>
        <v/>
      </c>
      <c r="AJ23" s="134" t="str">
        <f>IF(OR(K23="",Y23="",Z23="",V23="",$AL$9="FAIL"),"",Calculations!BU43)</f>
        <v/>
      </c>
      <c r="AK23" s="275" t="str">
        <f t="shared" si="4"/>
        <v/>
      </c>
      <c r="AL23" s="275" t="str">
        <f t="shared" si="5"/>
        <v/>
      </c>
      <c r="AM23" s="623" t="str">
        <f t="shared" si="6"/>
        <v/>
      </c>
    </row>
    <row r="24" spans="1:39" ht="20.149999999999999" customHeight="1" x14ac:dyDescent="0.3">
      <c r="A24" s="3">
        <v>5</v>
      </c>
      <c r="B24" s="344"/>
      <c r="C24" s="571" t="str">
        <f t="shared" si="1"/>
        <v/>
      </c>
      <c r="D24" s="344" t="str">
        <f>IF(OR(B24="",C24=""),"",INDEX(References!$U$4:$U$44,MATCH(Calculations!I44,References!$T$4:$T$44,0)))</f>
        <v/>
      </c>
      <c r="E24" s="344" t="str">
        <f t="shared" si="2"/>
        <v/>
      </c>
      <c r="F24" s="344"/>
      <c r="G24" s="344"/>
      <c r="H24" s="344"/>
      <c r="I24" s="610"/>
      <c r="J24" s="610"/>
      <c r="K24" s="344"/>
      <c r="L24" s="344"/>
      <c r="M24" s="345"/>
      <c r="N24" s="345"/>
      <c r="O24" s="252"/>
      <c r="P24" s="610"/>
      <c r="Q24" s="610"/>
      <c r="R24" s="252"/>
      <c r="S24" s="283"/>
      <c r="T24" s="283"/>
      <c r="U24" s="470" t="str">
        <f t="shared" si="0"/>
        <v/>
      </c>
      <c r="V24" s="471" t="str">
        <f t="shared" si="3"/>
        <v/>
      </c>
      <c r="W24" s="251"/>
      <c r="X24" s="344"/>
      <c r="Y24" s="344"/>
      <c r="Z24" s="344" t="str">
        <f>IF(OR(B24="",C24=""),"",INDEX(References!$V$4:$V$44,MATCH(Calculations!$I44,References!$T$4:$T$44,0)))</f>
        <v/>
      </c>
      <c r="AA24" s="344"/>
      <c r="AB24" s="345"/>
      <c r="AC24" s="344"/>
      <c r="AD24" s="598"/>
      <c r="AE24" s="598"/>
      <c r="AF24" s="599"/>
      <c r="AG24" s="252"/>
      <c r="AH24" s="7" t="str">
        <f>IF(OR(ISERROR(Calculations!AF44),Calculations!C44=""),"",Calculations!AF44)</f>
        <v/>
      </c>
      <c r="AI24" s="134" t="str">
        <f>IF(OR(J24="",X24="",Y24="",U24="",$AL$9="FAIL"),"",Calculations!BT44)</f>
        <v/>
      </c>
      <c r="AJ24" s="134" t="str">
        <f>IF(OR(K24="",Y24="",Z24="",V24="",$AL$9="FAIL"),"",Calculations!BU44)</f>
        <v/>
      </c>
      <c r="AK24" s="275" t="str">
        <f t="shared" si="4"/>
        <v/>
      </c>
      <c r="AL24" s="275" t="str">
        <f t="shared" si="5"/>
        <v/>
      </c>
      <c r="AM24" s="623" t="str">
        <f t="shared" si="6"/>
        <v/>
      </c>
    </row>
    <row r="25" spans="1:39" ht="20.149999999999999" customHeight="1" x14ac:dyDescent="0.3">
      <c r="A25" s="3">
        <v>6</v>
      </c>
      <c r="B25" s="344"/>
      <c r="C25" s="571" t="str">
        <f t="shared" si="1"/>
        <v/>
      </c>
      <c r="D25" s="344" t="str">
        <f>IF(OR(B25="",C25=""),"",INDEX(References!$U$4:$U$44,MATCH(Calculations!I45,References!$T$4:$T$44,0)))</f>
        <v/>
      </c>
      <c r="E25" s="344" t="str">
        <f t="shared" si="2"/>
        <v/>
      </c>
      <c r="F25" s="344"/>
      <c r="G25" s="344"/>
      <c r="H25" s="344"/>
      <c r="I25" s="610"/>
      <c r="J25" s="610"/>
      <c r="K25" s="344"/>
      <c r="L25" s="344"/>
      <c r="M25" s="345"/>
      <c r="N25" s="345"/>
      <c r="O25" s="252"/>
      <c r="P25" s="610"/>
      <c r="Q25" s="610"/>
      <c r="R25" s="252"/>
      <c r="S25" s="283"/>
      <c r="T25" s="283"/>
      <c r="U25" s="470" t="str">
        <f t="shared" si="0"/>
        <v/>
      </c>
      <c r="V25" s="471" t="str">
        <f t="shared" si="3"/>
        <v/>
      </c>
      <c r="W25" s="251"/>
      <c r="X25" s="344"/>
      <c r="Y25" s="344"/>
      <c r="Z25" s="344" t="str">
        <f>IF(OR(B25="",C25=""),"",INDEX(References!$V$4:$V$44,MATCH(Calculations!$I45,References!$T$4:$T$44,0)))</f>
        <v/>
      </c>
      <c r="AA25" s="344"/>
      <c r="AB25" s="345"/>
      <c r="AC25" s="344"/>
      <c r="AD25" s="598"/>
      <c r="AE25" s="598"/>
      <c r="AF25" s="599"/>
      <c r="AG25" s="252"/>
      <c r="AH25" s="7" t="str">
        <f>IF(OR(ISERROR(Calculations!AF45),Calculations!C45=""),"",Calculations!AF45)</f>
        <v/>
      </c>
      <c r="AI25" s="134" t="str">
        <f>IF(OR(J25="",X25="",Y25="",U25="",$AL$9="FAIL"),"",Calculations!BT45)</f>
        <v/>
      </c>
      <c r="AJ25" s="134" t="str">
        <f>IF(OR(K25="",Y25="",Z25="",V25="",$AL$9="FAIL"),"",Calculations!BU45)</f>
        <v/>
      </c>
      <c r="AK25" s="275" t="str">
        <f t="shared" si="4"/>
        <v/>
      </c>
      <c r="AL25" s="275" t="str">
        <f t="shared" si="5"/>
        <v/>
      </c>
      <c r="AM25" s="623" t="str">
        <f t="shared" si="6"/>
        <v/>
      </c>
    </row>
    <row r="26" spans="1:39" ht="20.149999999999999" customHeight="1" x14ac:dyDescent="0.3">
      <c r="A26" s="3">
        <v>7</v>
      </c>
      <c r="B26" s="344"/>
      <c r="C26" s="571" t="str">
        <f t="shared" si="1"/>
        <v/>
      </c>
      <c r="D26" s="344" t="str">
        <f>IF(OR(B26="",C26=""),"",INDEX(References!$U$4:$U$44,MATCH(Calculations!I46,References!$T$4:$T$44,0)))</f>
        <v/>
      </c>
      <c r="E26" s="344" t="str">
        <f t="shared" si="2"/>
        <v/>
      </c>
      <c r="F26" s="344"/>
      <c r="G26" s="344"/>
      <c r="H26" s="344"/>
      <c r="I26" s="610"/>
      <c r="J26" s="610"/>
      <c r="K26" s="344"/>
      <c r="L26" s="344"/>
      <c r="M26" s="345"/>
      <c r="N26" s="345"/>
      <c r="O26" s="252"/>
      <c r="P26" s="610"/>
      <c r="Q26" s="610"/>
      <c r="R26" s="252"/>
      <c r="S26" s="283"/>
      <c r="T26" s="283"/>
      <c r="U26" s="470" t="str">
        <f t="shared" si="0"/>
        <v/>
      </c>
      <c r="V26" s="471" t="str">
        <f t="shared" si="3"/>
        <v/>
      </c>
      <c r="W26" s="251"/>
      <c r="X26" s="344"/>
      <c r="Y26" s="344"/>
      <c r="Z26" s="344" t="str">
        <f>IF(OR(B26="",C26=""),"",INDEX(References!$V$4:$V$44,MATCH(Calculations!$I46,References!$T$4:$T$44,0)))</f>
        <v/>
      </c>
      <c r="AA26" s="344"/>
      <c r="AB26" s="345"/>
      <c r="AC26" s="344"/>
      <c r="AD26" s="598"/>
      <c r="AE26" s="598"/>
      <c r="AF26" s="599"/>
      <c r="AG26" s="252"/>
      <c r="AH26" s="7" t="str">
        <f>IF(OR(ISERROR(Calculations!AF46),Calculations!C46=""),"",Calculations!AF46)</f>
        <v/>
      </c>
      <c r="AI26" s="134" t="str">
        <f>IF(OR(J26="",X26="",Y26="",U26="",$AL$9="FAIL"),"",Calculations!BT46)</f>
        <v/>
      </c>
      <c r="AJ26" s="134" t="str">
        <f>IF(OR(K26="",Y26="",Z26="",V26="",$AL$9="FAIL"),"",Calculations!BU46)</f>
        <v/>
      </c>
      <c r="AK26" s="275" t="str">
        <f t="shared" si="4"/>
        <v/>
      </c>
      <c r="AL26" s="275" t="str">
        <f t="shared" si="5"/>
        <v/>
      </c>
      <c r="AM26" s="623" t="str">
        <f t="shared" si="6"/>
        <v/>
      </c>
    </row>
    <row r="27" spans="1:39" ht="20.149999999999999" customHeight="1" x14ac:dyDescent="0.3">
      <c r="A27" s="3">
        <v>8</v>
      </c>
      <c r="B27" s="344"/>
      <c r="C27" s="571" t="str">
        <f t="shared" si="1"/>
        <v/>
      </c>
      <c r="D27" s="344" t="str">
        <f>IF(OR(B27="",C27=""),"",INDEX(References!$U$4:$U$44,MATCH(Calculations!I47,References!$T$4:$T$44,0)))</f>
        <v/>
      </c>
      <c r="E27" s="344" t="str">
        <f t="shared" si="2"/>
        <v/>
      </c>
      <c r="F27" s="344"/>
      <c r="G27" s="344"/>
      <c r="H27" s="344"/>
      <c r="I27" s="610"/>
      <c r="J27" s="610"/>
      <c r="K27" s="344"/>
      <c r="L27" s="344"/>
      <c r="M27" s="345"/>
      <c r="N27" s="345"/>
      <c r="O27" s="252"/>
      <c r="P27" s="610"/>
      <c r="Q27" s="610"/>
      <c r="R27" s="252"/>
      <c r="S27" s="283"/>
      <c r="T27" s="283"/>
      <c r="U27" s="470" t="str">
        <f t="shared" si="0"/>
        <v/>
      </c>
      <c r="V27" s="471" t="str">
        <f t="shared" si="3"/>
        <v/>
      </c>
      <c r="W27" s="251"/>
      <c r="X27" s="344"/>
      <c r="Y27" s="344"/>
      <c r="Z27" s="344" t="str">
        <f>IF(OR(B27="",C27=""),"",INDEX(References!$V$4:$V$44,MATCH(Calculations!$I47,References!$T$4:$T$44,0)))</f>
        <v/>
      </c>
      <c r="AA27" s="344"/>
      <c r="AB27" s="345"/>
      <c r="AC27" s="344"/>
      <c r="AD27" s="598"/>
      <c r="AE27" s="598"/>
      <c r="AF27" s="599"/>
      <c r="AG27" s="252"/>
      <c r="AH27" s="7" t="str">
        <f>IF(OR(ISERROR(Calculations!AF47),Calculations!C47=""),"",Calculations!AF47)</f>
        <v/>
      </c>
      <c r="AI27" s="134" t="str">
        <f>IF(OR(J27="",X27="",Y27="",U27="",$AL$9="FAIL"),"",Calculations!BT47)</f>
        <v/>
      </c>
      <c r="AJ27" s="134" t="str">
        <f>IF(OR(K27="",Y27="",Z27="",V27="",$AL$9="FAIL"),"",Calculations!BU47)</f>
        <v/>
      </c>
      <c r="AK27" s="275" t="str">
        <f t="shared" si="4"/>
        <v/>
      </c>
      <c r="AL27" s="275" t="str">
        <f t="shared" si="5"/>
        <v/>
      </c>
      <c r="AM27" s="623" t="str">
        <f t="shared" si="6"/>
        <v/>
      </c>
    </row>
    <row r="28" spans="1:39" ht="20.149999999999999" customHeight="1" x14ac:dyDescent="0.3">
      <c r="A28" s="3">
        <v>9</v>
      </c>
      <c r="B28" s="344"/>
      <c r="C28" s="571" t="str">
        <f t="shared" si="1"/>
        <v/>
      </c>
      <c r="D28" s="344" t="str">
        <f>IF(OR(B28="",C28=""),"",INDEX(References!$U$4:$U$44,MATCH(Calculations!I48,References!$T$4:$T$44,0)))</f>
        <v/>
      </c>
      <c r="E28" s="344" t="str">
        <f t="shared" si="2"/>
        <v/>
      </c>
      <c r="F28" s="344"/>
      <c r="G28" s="344"/>
      <c r="H28" s="344"/>
      <c r="I28" s="610"/>
      <c r="J28" s="610"/>
      <c r="K28" s="344"/>
      <c r="L28" s="344"/>
      <c r="M28" s="345"/>
      <c r="N28" s="345"/>
      <c r="O28" s="252"/>
      <c r="P28" s="610"/>
      <c r="Q28" s="610"/>
      <c r="R28" s="252"/>
      <c r="S28" s="283"/>
      <c r="T28" s="283"/>
      <c r="U28" s="470" t="str">
        <f t="shared" si="0"/>
        <v/>
      </c>
      <c r="V28" s="471" t="str">
        <f t="shared" si="3"/>
        <v/>
      </c>
      <c r="W28" s="251"/>
      <c r="X28" s="344"/>
      <c r="Y28" s="344"/>
      <c r="Z28" s="344" t="str">
        <f>IF(OR(B28="",C28=""),"",INDEX(References!$V$4:$V$44,MATCH(Calculations!$I48,References!$T$4:$T$44,0)))</f>
        <v/>
      </c>
      <c r="AA28" s="344"/>
      <c r="AB28" s="345"/>
      <c r="AC28" s="344"/>
      <c r="AD28" s="598"/>
      <c r="AE28" s="598"/>
      <c r="AF28" s="599"/>
      <c r="AG28" s="252"/>
      <c r="AH28" s="7" t="str">
        <f>IF(OR(ISERROR(Calculations!AF48),Calculations!C48=""),"",Calculations!AF48)</f>
        <v/>
      </c>
      <c r="AI28" s="134" t="str">
        <f>IF(OR(J28="",X28="",Y28="",U28="",$AL$9="FAIL"),"",Calculations!BT48)</f>
        <v/>
      </c>
      <c r="AJ28" s="134" t="str">
        <f>IF(OR(K28="",Y28="",Z28="",V28="",$AL$9="FAIL"),"",Calculations!BU48)</f>
        <v/>
      </c>
      <c r="AK28" s="275" t="str">
        <f t="shared" si="4"/>
        <v/>
      </c>
      <c r="AL28" s="275" t="str">
        <f t="shared" si="5"/>
        <v/>
      </c>
      <c r="AM28" s="623" t="str">
        <f t="shared" si="6"/>
        <v/>
      </c>
    </row>
    <row r="29" spans="1:39" ht="20.149999999999999" customHeight="1" x14ac:dyDescent="0.3">
      <c r="A29" s="3">
        <v>10</v>
      </c>
      <c r="B29" s="344"/>
      <c r="C29" s="571" t="str">
        <f t="shared" si="1"/>
        <v/>
      </c>
      <c r="D29" s="344" t="str">
        <f>IF(OR(B29="",C29=""),"",INDEX(References!$U$4:$U$44,MATCH(Calculations!I49,References!$T$4:$T$44,0)))</f>
        <v/>
      </c>
      <c r="E29" s="344" t="str">
        <f t="shared" si="2"/>
        <v/>
      </c>
      <c r="F29" s="344"/>
      <c r="G29" s="344"/>
      <c r="H29" s="344"/>
      <c r="I29" s="610"/>
      <c r="J29" s="610"/>
      <c r="K29" s="344"/>
      <c r="L29" s="344"/>
      <c r="M29" s="345"/>
      <c r="N29" s="345"/>
      <c r="O29" s="252"/>
      <c r="P29" s="610"/>
      <c r="Q29" s="610"/>
      <c r="R29" s="252"/>
      <c r="S29" s="283"/>
      <c r="T29" s="283"/>
      <c r="U29" s="470" t="str">
        <f t="shared" si="0"/>
        <v/>
      </c>
      <c r="V29" s="471" t="str">
        <f t="shared" si="3"/>
        <v/>
      </c>
      <c r="W29" s="251"/>
      <c r="X29" s="344"/>
      <c r="Y29" s="344"/>
      <c r="Z29" s="344" t="str">
        <f>IF(OR(B29="",C29=""),"",INDEX(References!$V$4:$V$44,MATCH(Calculations!$I49,References!$T$4:$T$44,0)))</f>
        <v/>
      </c>
      <c r="AA29" s="344"/>
      <c r="AB29" s="345"/>
      <c r="AC29" s="344"/>
      <c r="AD29" s="598"/>
      <c r="AE29" s="598"/>
      <c r="AF29" s="599"/>
      <c r="AG29" s="252"/>
      <c r="AH29" s="7" t="str">
        <f>IF(OR(ISERROR(Calculations!AF49),Calculations!C49=""),"",Calculations!AF49)</f>
        <v/>
      </c>
      <c r="AI29" s="134" t="str">
        <f>IF(OR(J29="",X29="",Y29="",U29="",$AL$9="FAIL"),"",Calculations!BT49)</f>
        <v/>
      </c>
      <c r="AJ29" s="134" t="str">
        <f>IF(OR(K29="",Y29="",Z29="",V29="",$AL$9="FAIL"),"",Calculations!BU49)</f>
        <v/>
      </c>
      <c r="AK29" s="275" t="str">
        <f t="shared" si="4"/>
        <v/>
      </c>
      <c r="AL29" s="275" t="str">
        <f t="shared" si="5"/>
        <v/>
      </c>
      <c r="AM29" s="623" t="str">
        <f t="shared" si="6"/>
        <v/>
      </c>
    </row>
    <row r="30" spans="1:39" ht="20.149999999999999" customHeight="1" x14ac:dyDescent="0.3">
      <c r="A30" s="3">
        <v>11</v>
      </c>
      <c r="B30" s="344"/>
      <c r="C30" s="571" t="str">
        <f t="shared" si="1"/>
        <v/>
      </c>
      <c r="D30" s="344" t="str">
        <f>IF(OR(B30="",C30=""),"",INDEX(References!$U$4:$U$44,MATCH(Calculations!I50,References!$T$4:$T$44,0)))</f>
        <v/>
      </c>
      <c r="E30" s="344" t="str">
        <f t="shared" si="2"/>
        <v/>
      </c>
      <c r="F30" s="344"/>
      <c r="G30" s="344"/>
      <c r="H30" s="344"/>
      <c r="I30" s="610"/>
      <c r="J30" s="610"/>
      <c r="K30" s="344"/>
      <c r="L30" s="344"/>
      <c r="M30" s="345"/>
      <c r="N30" s="345"/>
      <c r="O30" s="252"/>
      <c r="P30" s="610"/>
      <c r="Q30" s="610"/>
      <c r="R30" s="252"/>
      <c r="S30" s="283"/>
      <c r="T30" s="283"/>
      <c r="U30" s="470" t="str">
        <f t="shared" si="0"/>
        <v/>
      </c>
      <c r="V30" s="471" t="str">
        <f t="shared" si="3"/>
        <v/>
      </c>
      <c r="W30" s="251"/>
      <c r="X30" s="344"/>
      <c r="Y30" s="344"/>
      <c r="Z30" s="344" t="str">
        <f>IF(OR(B30="",C30=""),"",INDEX(References!$V$4:$V$44,MATCH(Calculations!$I50,References!$T$4:$T$44,0)))</f>
        <v/>
      </c>
      <c r="AA30" s="344"/>
      <c r="AB30" s="345"/>
      <c r="AC30" s="344"/>
      <c r="AD30" s="598"/>
      <c r="AE30" s="598"/>
      <c r="AF30" s="599"/>
      <c r="AG30" s="252"/>
      <c r="AH30" s="7" t="str">
        <f>IF(OR(ISERROR(Calculations!AF50),Calculations!C50=""),"",Calculations!AF50)</f>
        <v/>
      </c>
      <c r="AI30" s="134" t="str">
        <f>IF(OR(J30="",X30="",Y30="",U30="",$AL$9="FAIL"),"",Calculations!BT50)</f>
        <v/>
      </c>
      <c r="AJ30" s="134" t="str">
        <f>IF(OR(K30="",Y30="",Z30="",V30="",$AL$9="FAIL"),"",Calculations!BU50)</f>
        <v/>
      </c>
      <c r="AK30" s="275" t="str">
        <f t="shared" si="4"/>
        <v/>
      </c>
      <c r="AL30" s="275" t="str">
        <f t="shared" si="5"/>
        <v/>
      </c>
      <c r="AM30" s="623" t="str">
        <f t="shared" si="6"/>
        <v/>
      </c>
    </row>
    <row r="31" spans="1:39" ht="20.149999999999999" customHeight="1" x14ac:dyDescent="0.3">
      <c r="A31" s="3">
        <v>12</v>
      </c>
      <c r="B31" s="344"/>
      <c r="C31" s="571" t="str">
        <f t="shared" si="1"/>
        <v/>
      </c>
      <c r="D31" s="344" t="str">
        <f>IF(OR(B31="",C31=""),"",INDEX(References!$U$4:$U$44,MATCH(Calculations!I51,References!$T$4:$T$44,0)))</f>
        <v/>
      </c>
      <c r="E31" s="344" t="str">
        <f t="shared" si="2"/>
        <v/>
      </c>
      <c r="F31" s="344"/>
      <c r="G31" s="344"/>
      <c r="H31" s="344"/>
      <c r="I31" s="610"/>
      <c r="J31" s="610"/>
      <c r="K31" s="344"/>
      <c r="L31" s="344"/>
      <c r="M31" s="345"/>
      <c r="N31" s="345"/>
      <c r="O31" s="252"/>
      <c r="P31" s="610"/>
      <c r="Q31" s="610"/>
      <c r="R31" s="252"/>
      <c r="S31" s="283"/>
      <c r="T31" s="283"/>
      <c r="U31" s="470" t="str">
        <f t="shared" si="0"/>
        <v/>
      </c>
      <c r="V31" s="471" t="str">
        <f t="shared" si="3"/>
        <v/>
      </c>
      <c r="W31" s="251"/>
      <c r="X31" s="344"/>
      <c r="Y31" s="344"/>
      <c r="Z31" s="344" t="str">
        <f>IF(OR(B31="",C31=""),"",INDEX(References!$V$4:$V$44,MATCH(Calculations!$I51,References!$T$4:$T$44,0)))</f>
        <v/>
      </c>
      <c r="AA31" s="344"/>
      <c r="AB31" s="345"/>
      <c r="AC31" s="344"/>
      <c r="AD31" s="598"/>
      <c r="AE31" s="598"/>
      <c r="AF31" s="599"/>
      <c r="AG31" s="252"/>
      <c r="AH31" s="7" t="str">
        <f>IF(OR(ISERROR(Calculations!AF51),Calculations!C51=""),"",Calculations!AF51)</f>
        <v/>
      </c>
      <c r="AI31" s="134" t="str">
        <f>IF(OR(J31="",X31="",Y31="",U31="",$AL$9="FAIL"),"",Calculations!BT51)</f>
        <v/>
      </c>
      <c r="AJ31" s="134" t="str">
        <f>IF(OR(K31="",Y31="",Z31="",V31="",$AL$9="FAIL"),"",Calculations!BU51)</f>
        <v/>
      </c>
      <c r="AK31" s="275" t="str">
        <f t="shared" si="4"/>
        <v/>
      </c>
      <c r="AL31" s="275" t="str">
        <f t="shared" si="5"/>
        <v/>
      </c>
      <c r="AM31" s="623" t="str">
        <f t="shared" si="6"/>
        <v/>
      </c>
    </row>
    <row r="32" spans="1:39" ht="20.149999999999999" customHeight="1" x14ac:dyDescent="0.3">
      <c r="A32" s="3">
        <v>13</v>
      </c>
      <c r="B32" s="344"/>
      <c r="C32" s="571" t="str">
        <f t="shared" si="1"/>
        <v/>
      </c>
      <c r="D32" s="344" t="str">
        <f>IF(OR(B32="",C32=""),"",INDEX(References!$U$4:$U$44,MATCH(Calculations!I52,References!$T$4:$T$44,0)))</f>
        <v/>
      </c>
      <c r="E32" s="344" t="str">
        <f t="shared" si="2"/>
        <v/>
      </c>
      <c r="F32" s="344"/>
      <c r="G32" s="344"/>
      <c r="H32" s="344"/>
      <c r="I32" s="610"/>
      <c r="J32" s="610"/>
      <c r="K32" s="344"/>
      <c r="L32" s="344"/>
      <c r="M32" s="345"/>
      <c r="N32" s="345"/>
      <c r="O32" s="252"/>
      <c r="P32" s="610"/>
      <c r="Q32" s="610"/>
      <c r="R32" s="252"/>
      <c r="S32" s="283"/>
      <c r="T32" s="283"/>
      <c r="U32" s="470" t="str">
        <f t="shared" si="0"/>
        <v/>
      </c>
      <c r="V32" s="471" t="str">
        <f t="shared" si="3"/>
        <v/>
      </c>
      <c r="W32" s="251"/>
      <c r="X32" s="344"/>
      <c r="Y32" s="344"/>
      <c r="Z32" s="344" t="str">
        <f>IF(OR(B32="",C32=""),"",INDEX(References!$V$4:$V$44,MATCH(Calculations!$I52,References!$T$4:$T$44,0)))</f>
        <v/>
      </c>
      <c r="AA32" s="344"/>
      <c r="AB32" s="345"/>
      <c r="AC32" s="344"/>
      <c r="AD32" s="598"/>
      <c r="AE32" s="598"/>
      <c r="AF32" s="599"/>
      <c r="AG32" s="252"/>
      <c r="AH32" s="7" t="str">
        <f>IF(OR(ISERROR(Calculations!AF52),Calculations!C52=""),"",Calculations!AF52)</f>
        <v/>
      </c>
      <c r="AI32" s="134" t="str">
        <f>IF(OR(J32="",X32="",Y32="",U32="",$AL$9="FAIL"),"",Calculations!BT52)</f>
        <v/>
      </c>
      <c r="AJ32" s="134" t="str">
        <f>IF(OR(K32="",Y32="",Z32="",V32="",$AL$9="FAIL"),"",Calculations!BU52)</f>
        <v/>
      </c>
      <c r="AK32" s="275" t="str">
        <f t="shared" si="4"/>
        <v/>
      </c>
      <c r="AL32" s="275" t="str">
        <f t="shared" si="5"/>
        <v/>
      </c>
      <c r="AM32" s="623" t="str">
        <f t="shared" si="6"/>
        <v/>
      </c>
    </row>
    <row r="33" spans="1:39" ht="20.149999999999999" customHeight="1" x14ac:dyDescent="0.3">
      <c r="A33" s="3">
        <v>14</v>
      </c>
      <c r="B33" s="344"/>
      <c r="C33" s="571" t="str">
        <f t="shared" si="1"/>
        <v/>
      </c>
      <c r="D33" s="344" t="str">
        <f>IF(OR(B33="",C33=""),"",INDEX(References!$U$4:$U$44,MATCH(Calculations!I53,References!$T$4:$T$44,0)))</f>
        <v/>
      </c>
      <c r="E33" s="344" t="str">
        <f t="shared" si="2"/>
        <v/>
      </c>
      <c r="F33" s="344"/>
      <c r="G33" s="344"/>
      <c r="H33" s="344"/>
      <c r="I33" s="610"/>
      <c r="J33" s="610"/>
      <c r="K33" s="344"/>
      <c r="L33" s="344"/>
      <c r="M33" s="345"/>
      <c r="N33" s="345"/>
      <c r="O33" s="252"/>
      <c r="P33" s="610"/>
      <c r="Q33" s="610"/>
      <c r="R33" s="252"/>
      <c r="S33" s="283"/>
      <c r="T33" s="283"/>
      <c r="U33" s="470" t="str">
        <f t="shared" si="0"/>
        <v/>
      </c>
      <c r="V33" s="471" t="str">
        <f t="shared" si="3"/>
        <v/>
      </c>
      <c r="W33" s="251"/>
      <c r="X33" s="344"/>
      <c r="Y33" s="344"/>
      <c r="Z33" s="344" t="str">
        <f>IF(OR(B33="",C33=""),"",INDEX(References!$V$4:$V$44,MATCH(Calculations!$I53,References!$T$4:$T$44,0)))</f>
        <v/>
      </c>
      <c r="AA33" s="344"/>
      <c r="AB33" s="345"/>
      <c r="AC33" s="344"/>
      <c r="AD33" s="598"/>
      <c r="AE33" s="598"/>
      <c r="AF33" s="599"/>
      <c r="AG33" s="252"/>
      <c r="AH33" s="7" t="str">
        <f>IF(OR(ISERROR(Calculations!AF53),Calculations!C53=""),"",Calculations!AF53)</f>
        <v/>
      </c>
      <c r="AI33" s="134" t="str">
        <f>IF(OR(J33="",X33="",Y33="",U33="",$AL$9="FAIL"),"",Calculations!BT53)</f>
        <v/>
      </c>
      <c r="AJ33" s="134" t="str">
        <f>IF(OR(K33="",Y33="",Z33="",V33="",$AL$9="FAIL"),"",Calculations!BU53)</f>
        <v/>
      </c>
      <c r="AK33" s="275" t="str">
        <f t="shared" si="4"/>
        <v/>
      </c>
      <c r="AL33" s="275" t="str">
        <f t="shared" si="5"/>
        <v/>
      </c>
      <c r="AM33" s="623" t="str">
        <f t="shared" si="6"/>
        <v/>
      </c>
    </row>
    <row r="34" spans="1:39" ht="20.149999999999999" customHeight="1" x14ac:dyDescent="0.3">
      <c r="A34" s="3">
        <v>15</v>
      </c>
      <c r="B34" s="344"/>
      <c r="C34" s="571" t="str">
        <f t="shared" si="1"/>
        <v/>
      </c>
      <c r="D34" s="344" t="str">
        <f>IF(OR(B34="",C34=""),"",INDEX(References!$U$4:$U$44,MATCH(Calculations!I54,References!$T$4:$T$44,0)))</f>
        <v/>
      </c>
      <c r="E34" s="344" t="str">
        <f t="shared" si="2"/>
        <v/>
      </c>
      <c r="F34" s="344"/>
      <c r="G34" s="344"/>
      <c r="H34" s="344"/>
      <c r="I34" s="610"/>
      <c r="J34" s="610"/>
      <c r="K34" s="344"/>
      <c r="L34" s="344"/>
      <c r="M34" s="345"/>
      <c r="N34" s="345"/>
      <c r="O34" s="252"/>
      <c r="P34" s="610"/>
      <c r="Q34" s="610"/>
      <c r="R34" s="252"/>
      <c r="S34" s="283"/>
      <c r="T34" s="283"/>
      <c r="U34" s="470" t="str">
        <f t="shared" si="0"/>
        <v/>
      </c>
      <c r="V34" s="471" t="str">
        <f t="shared" si="3"/>
        <v/>
      </c>
      <c r="W34" s="251"/>
      <c r="X34" s="344"/>
      <c r="Y34" s="344"/>
      <c r="Z34" s="344" t="str">
        <f>IF(OR(B34="",C34=""),"",INDEX(References!$V$4:$V$44,MATCH(Calculations!$I54,References!$T$4:$T$44,0)))</f>
        <v/>
      </c>
      <c r="AA34" s="344"/>
      <c r="AB34" s="345"/>
      <c r="AC34" s="344"/>
      <c r="AD34" s="598"/>
      <c r="AE34" s="598"/>
      <c r="AF34" s="599"/>
      <c r="AG34" s="252"/>
      <c r="AH34" s="7" t="str">
        <f>IF(OR(ISERROR(Calculations!AF54),Calculations!C54=""),"",Calculations!AF54)</f>
        <v/>
      </c>
      <c r="AI34" s="134" t="str">
        <f>IF(OR(J34="",X34="",Y34="",U34="",$AL$9="FAIL"),"",Calculations!BT54)</f>
        <v/>
      </c>
      <c r="AJ34" s="134" t="str">
        <f>IF(OR(K34="",Y34="",Z34="",V34="",$AL$9="FAIL"),"",Calculations!BU54)</f>
        <v/>
      </c>
      <c r="AK34" s="275" t="str">
        <f t="shared" si="4"/>
        <v/>
      </c>
      <c r="AL34" s="275" t="str">
        <f t="shared" si="5"/>
        <v/>
      </c>
      <c r="AM34" s="623" t="str">
        <f t="shared" si="6"/>
        <v/>
      </c>
    </row>
    <row r="35" spans="1:39" ht="20.149999999999999" customHeight="1" x14ac:dyDescent="0.3">
      <c r="A35" s="3">
        <v>16</v>
      </c>
      <c r="B35" s="344"/>
      <c r="C35" s="571" t="str">
        <f t="shared" si="1"/>
        <v/>
      </c>
      <c r="D35" s="344" t="str">
        <f>IF(OR(B35="",C35=""),"",INDEX(References!$U$4:$U$44,MATCH(Calculations!I55,References!$T$4:$T$44,0)))</f>
        <v/>
      </c>
      <c r="E35" s="344" t="str">
        <f t="shared" si="2"/>
        <v/>
      </c>
      <c r="F35" s="344"/>
      <c r="G35" s="344"/>
      <c r="H35" s="344"/>
      <c r="I35" s="610"/>
      <c r="J35" s="610"/>
      <c r="K35" s="344"/>
      <c r="L35" s="344"/>
      <c r="M35" s="345"/>
      <c r="N35" s="345"/>
      <c r="O35" s="252"/>
      <c r="P35" s="610"/>
      <c r="Q35" s="610"/>
      <c r="R35" s="252"/>
      <c r="S35" s="283"/>
      <c r="T35" s="283"/>
      <c r="U35" s="470" t="str">
        <f t="shared" si="0"/>
        <v/>
      </c>
      <c r="V35" s="471" t="str">
        <f t="shared" si="3"/>
        <v/>
      </c>
      <c r="W35" s="251"/>
      <c r="X35" s="344"/>
      <c r="Y35" s="344"/>
      <c r="Z35" s="344" t="str">
        <f>IF(OR(B35="",C35=""),"",INDEX(References!$V$4:$V$44,MATCH(Calculations!$I55,References!$T$4:$T$44,0)))</f>
        <v/>
      </c>
      <c r="AA35" s="344"/>
      <c r="AB35" s="345"/>
      <c r="AC35" s="344"/>
      <c r="AD35" s="598"/>
      <c r="AE35" s="598"/>
      <c r="AF35" s="599"/>
      <c r="AG35" s="252"/>
      <c r="AH35" s="7" t="str">
        <f>IF(OR(ISERROR(Calculations!AF55),Calculations!C55=""),"",Calculations!AF55)</f>
        <v/>
      </c>
      <c r="AI35" s="134" t="str">
        <f>IF(OR(J35="",X35="",Y35="",U35="",$AL$9="FAIL"),"",Calculations!BT55)</f>
        <v/>
      </c>
      <c r="AJ35" s="134" t="str">
        <f>IF(OR(K35="",Y35="",Z35="",V35="",$AL$9="FAIL"),"",Calculations!BU55)</f>
        <v/>
      </c>
      <c r="AK35" s="275" t="str">
        <f t="shared" si="4"/>
        <v/>
      </c>
      <c r="AL35" s="275" t="str">
        <f t="shared" si="5"/>
        <v/>
      </c>
      <c r="AM35" s="623" t="str">
        <f t="shared" si="6"/>
        <v/>
      </c>
    </row>
    <row r="36" spans="1:39" ht="20.149999999999999" customHeight="1" x14ac:dyDescent="0.3">
      <c r="A36" s="3">
        <v>17</v>
      </c>
      <c r="B36" s="344"/>
      <c r="C36" s="571" t="str">
        <f t="shared" si="1"/>
        <v/>
      </c>
      <c r="D36" s="344" t="str">
        <f>IF(OR(B36="",C36=""),"",INDEX(References!$U$4:$U$44,MATCH(Calculations!I56,References!$T$4:$T$44,0)))</f>
        <v/>
      </c>
      <c r="E36" s="344" t="str">
        <f t="shared" si="2"/>
        <v/>
      </c>
      <c r="F36" s="344"/>
      <c r="G36" s="344"/>
      <c r="H36" s="344"/>
      <c r="I36" s="610"/>
      <c r="J36" s="610"/>
      <c r="K36" s="344"/>
      <c r="L36" s="344"/>
      <c r="M36" s="345"/>
      <c r="N36" s="345"/>
      <c r="O36" s="252"/>
      <c r="P36" s="610"/>
      <c r="Q36" s="610"/>
      <c r="R36" s="252"/>
      <c r="S36" s="283"/>
      <c r="T36" s="283"/>
      <c r="U36" s="470" t="str">
        <f t="shared" si="0"/>
        <v/>
      </c>
      <c r="V36" s="471" t="str">
        <f t="shared" si="3"/>
        <v/>
      </c>
      <c r="W36" s="251"/>
      <c r="X36" s="344"/>
      <c r="Y36" s="344"/>
      <c r="Z36" s="344" t="str">
        <f>IF(OR(B36="",C36=""),"",INDEX(References!$V$4:$V$44,MATCH(Calculations!$I56,References!$T$4:$T$44,0)))</f>
        <v/>
      </c>
      <c r="AA36" s="344"/>
      <c r="AB36" s="345"/>
      <c r="AC36" s="344"/>
      <c r="AD36" s="598"/>
      <c r="AE36" s="598"/>
      <c r="AF36" s="599"/>
      <c r="AG36" s="252"/>
      <c r="AH36" s="7" t="str">
        <f>IF(OR(ISERROR(Calculations!AF56),Calculations!C56=""),"",Calculations!AF56)</f>
        <v/>
      </c>
      <c r="AI36" s="134" t="str">
        <f>IF(OR(J36="",X36="",Y36="",U36="",$AL$9="FAIL"),"",Calculations!BT56)</f>
        <v/>
      </c>
      <c r="AJ36" s="134" t="str">
        <f>IF(OR(K36="",Y36="",Z36="",V36="",$AL$9="FAIL"),"",Calculations!BU56)</f>
        <v/>
      </c>
      <c r="AK36" s="275" t="str">
        <f t="shared" si="4"/>
        <v/>
      </c>
      <c r="AL36" s="275" t="str">
        <f t="shared" si="5"/>
        <v/>
      </c>
      <c r="AM36" s="623" t="str">
        <f t="shared" si="6"/>
        <v/>
      </c>
    </row>
    <row r="37" spans="1:39" ht="20.149999999999999" customHeight="1" x14ac:dyDescent="0.3">
      <c r="A37" s="3">
        <v>18</v>
      </c>
      <c r="B37" s="344"/>
      <c r="C37" s="571" t="str">
        <f t="shared" si="1"/>
        <v/>
      </c>
      <c r="D37" s="344" t="str">
        <f>IF(OR(B37="",C37=""),"",INDEX(References!$U$4:$U$44,MATCH(Calculations!I57,References!$T$4:$T$44,0)))</f>
        <v/>
      </c>
      <c r="E37" s="344" t="str">
        <f t="shared" si="2"/>
        <v/>
      </c>
      <c r="F37" s="344"/>
      <c r="G37" s="344"/>
      <c r="H37" s="344"/>
      <c r="I37" s="610"/>
      <c r="J37" s="610"/>
      <c r="K37" s="344"/>
      <c r="L37" s="344"/>
      <c r="M37" s="345"/>
      <c r="N37" s="345"/>
      <c r="O37" s="252"/>
      <c r="P37" s="610"/>
      <c r="Q37" s="610"/>
      <c r="R37" s="252"/>
      <c r="S37" s="283"/>
      <c r="T37" s="283"/>
      <c r="U37" s="470" t="str">
        <f t="shared" si="0"/>
        <v/>
      </c>
      <c r="V37" s="471" t="str">
        <f t="shared" si="3"/>
        <v/>
      </c>
      <c r="W37" s="251"/>
      <c r="X37" s="344"/>
      <c r="Y37" s="344"/>
      <c r="Z37" s="344" t="str">
        <f>IF(OR(B37="",C37=""),"",INDEX(References!$V$4:$V$44,MATCH(Calculations!$I57,References!$T$4:$T$44,0)))</f>
        <v/>
      </c>
      <c r="AA37" s="344"/>
      <c r="AB37" s="345"/>
      <c r="AC37" s="344"/>
      <c r="AD37" s="598"/>
      <c r="AE37" s="598"/>
      <c r="AF37" s="599"/>
      <c r="AG37" s="252"/>
      <c r="AH37" s="7" t="str">
        <f>IF(OR(ISERROR(Calculations!AF57),Calculations!C57=""),"",Calculations!AF57)</f>
        <v/>
      </c>
      <c r="AI37" s="134" t="str">
        <f>IF(OR(J37="",X37="",Y37="",U37="",$AL$9="FAIL"),"",Calculations!BT57)</f>
        <v/>
      </c>
      <c r="AJ37" s="134" t="str">
        <f>IF(OR(K37="",Y37="",Z37="",V37="",$AL$9="FAIL"),"",Calculations!BU57)</f>
        <v/>
      </c>
      <c r="AK37" s="275" t="str">
        <f t="shared" si="4"/>
        <v/>
      </c>
      <c r="AL37" s="275" t="str">
        <f t="shared" si="5"/>
        <v/>
      </c>
      <c r="AM37" s="623" t="str">
        <f t="shared" si="6"/>
        <v/>
      </c>
    </row>
    <row r="38" spans="1:39" ht="20.149999999999999" customHeight="1" x14ac:dyDescent="0.3">
      <c r="A38" s="3">
        <v>19</v>
      </c>
      <c r="B38" s="344"/>
      <c r="C38" s="571" t="str">
        <f t="shared" si="1"/>
        <v/>
      </c>
      <c r="D38" s="344" t="str">
        <f>IF(OR(B38="",C38=""),"",INDEX(References!$U$4:$U$44,MATCH(Calculations!I58,References!$T$4:$T$44,0)))</f>
        <v/>
      </c>
      <c r="E38" s="344" t="str">
        <f t="shared" si="2"/>
        <v/>
      </c>
      <c r="F38" s="344"/>
      <c r="G38" s="344"/>
      <c r="H38" s="344"/>
      <c r="I38" s="610"/>
      <c r="J38" s="610"/>
      <c r="K38" s="344"/>
      <c r="L38" s="344"/>
      <c r="M38" s="345"/>
      <c r="N38" s="345"/>
      <c r="O38" s="252"/>
      <c r="P38" s="610"/>
      <c r="Q38" s="610"/>
      <c r="R38" s="252"/>
      <c r="S38" s="283"/>
      <c r="T38" s="283"/>
      <c r="U38" s="470" t="str">
        <f t="shared" si="0"/>
        <v/>
      </c>
      <c r="V38" s="471" t="str">
        <f t="shared" si="3"/>
        <v/>
      </c>
      <c r="W38" s="251"/>
      <c r="X38" s="344"/>
      <c r="Y38" s="344"/>
      <c r="Z38" s="344" t="str">
        <f>IF(OR(B38="",C38=""),"",INDEX(References!$V$4:$V$44,MATCH(Calculations!$I58,References!$T$4:$T$44,0)))</f>
        <v/>
      </c>
      <c r="AA38" s="344"/>
      <c r="AB38" s="345"/>
      <c r="AC38" s="344"/>
      <c r="AD38" s="598"/>
      <c r="AE38" s="598"/>
      <c r="AF38" s="599"/>
      <c r="AG38" s="252"/>
      <c r="AH38" s="7" t="str">
        <f>IF(OR(ISERROR(Calculations!AF58),Calculations!C58=""),"",Calculations!AF58)</f>
        <v/>
      </c>
      <c r="AI38" s="134" t="str">
        <f>IF(OR(J38="",X38="",Y38="",U38="",$AL$9="FAIL"),"",Calculations!BT58)</f>
        <v/>
      </c>
      <c r="AJ38" s="134" t="str">
        <f>IF(OR(K38="",Y38="",Z38="",V38="",$AL$9="FAIL"),"",Calculations!BU58)</f>
        <v/>
      </c>
      <c r="AK38" s="275" t="str">
        <f t="shared" si="4"/>
        <v/>
      </c>
      <c r="AL38" s="275" t="str">
        <f t="shared" si="5"/>
        <v/>
      </c>
      <c r="AM38" s="623" t="str">
        <f t="shared" si="6"/>
        <v/>
      </c>
    </row>
    <row r="39" spans="1:39" ht="20.149999999999999" customHeight="1" x14ac:dyDescent="0.3">
      <c r="A39" s="3">
        <v>20</v>
      </c>
      <c r="B39" s="344"/>
      <c r="C39" s="571" t="str">
        <f t="shared" si="1"/>
        <v/>
      </c>
      <c r="D39" s="344" t="str">
        <f>IF(OR(B39="",C39=""),"",INDEX(References!$U$4:$U$44,MATCH(Calculations!I59,References!$T$4:$T$44,0)))</f>
        <v/>
      </c>
      <c r="E39" s="344" t="str">
        <f t="shared" si="2"/>
        <v/>
      </c>
      <c r="F39" s="344"/>
      <c r="G39" s="344"/>
      <c r="H39" s="344"/>
      <c r="I39" s="610"/>
      <c r="J39" s="610"/>
      <c r="K39" s="344"/>
      <c r="L39" s="344"/>
      <c r="M39" s="345"/>
      <c r="N39" s="345"/>
      <c r="O39" s="252"/>
      <c r="P39" s="610"/>
      <c r="Q39" s="610"/>
      <c r="R39" s="252"/>
      <c r="S39" s="283"/>
      <c r="T39" s="283"/>
      <c r="U39" s="470" t="str">
        <f t="shared" si="0"/>
        <v/>
      </c>
      <c r="V39" s="471" t="str">
        <f t="shared" si="3"/>
        <v/>
      </c>
      <c r="W39" s="251"/>
      <c r="X39" s="344"/>
      <c r="Y39" s="344"/>
      <c r="Z39" s="344" t="str">
        <f>IF(OR(B39="",C39=""),"",INDEX(References!$V$4:$V$44,MATCH(Calculations!$I59,References!$T$4:$T$44,0)))</f>
        <v/>
      </c>
      <c r="AA39" s="344"/>
      <c r="AB39" s="345"/>
      <c r="AC39" s="344"/>
      <c r="AD39" s="598"/>
      <c r="AE39" s="598"/>
      <c r="AF39" s="599"/>
      <c r="AG39" s="252"/>
      <c r="AH39" s="7" t="str">
        <f>IF(OR(ISERROR(Calculations!AF59),Calculations!C59=""),"",Calculations!AF59)</f>
        <v/>
      </c>
      <c r="AI39" s="134" t="str">
        <f>IF(OR(J39="",X39="",Y39="",U39="",$AL$9="FAIL"),"",Calculations!BT59)</f>
        <v/>
      </c>
      <c r="AJ39" s="134" t="str">
        <f>IF(OR(K39="",Y39="",Z39="",V39="",$AL$9="FAIL"),"",Calculations!BU59)</f>
        <v/>
      </c>
      <c r="AK39" s="275" t="str">
        <f t="shared" si="4"/>
        <v/>
      </c>
      <c r="AL39" s="275" t="str">
        <f t="shared" si="5"/>
        <v/>
      </c>
      <c r="AM39" s="623" t="str">
        <f t="shared" si="6"/>
        <v/>
      </c>
    </row>
    <row r="40" spans="1:39" ht="20.149999999999999" customHeight="1" x14ac:dyDescent="0.3">
      <c r="A40" s="3">
        <v>21</v>
      </c>
      <c r="B40" s="344"/>
      <c r="C40" s="571" t="str">
        <f t="shared" si="1"/>
        <v/>
      </c>
      <c r="D40" s="344" t="str">
        <f>IF(OR(B40="",C40=""),"",INDEX(References!$U$4:$U$44,MATCH(Calculations!I60,References!$T$4:$T$44,0)))</f>
        <v/>
      </c>
      <c r="E40" s="344" t="str">
        <f t="shared" si="2"/>
        <v/>
      </c>
      <c r="F40" s="344"/>
      <c r="G40" s="344"/>
      <c r="H40" s="344"/>
      <c r="I40" s="610"/>
      <c r="J40" s="610"/>
      <c r="K40" s="344"/>
      <c r="L40" s="344"/>
      <c r="M40" s="345"/>
      <c r="N40" s="345"/>
      <c r="O40" s="252"/>
      <c r="P40" s="610"/>
      <c r="Q40" s="610"/>
      <c r="R40" s="252"/>
      <c r="S40" s="283"/>
      <c r="T40" s="283"/>
      <c r="U40" s="470" t="str">
        <f t="shared" si="0"/>
        <v/>
      </c>
      <c r="V40" s="471" t="str">
        <f t="shared" si="3"/>
        <v/>
      </c>
      <c r="W40" s="251"/>
      <c r="X40" s="344"/>
      <c r="Y40" s="344"/>
      <c r="Z40" s="344" t="str">
        <f>IF(OR(B40="",C40=""),"",INDEX(References!$V$4:$V$44,MATCH(Calculations!$I60,References!$T$4:$T$44,0)))</f>
        <v/>
      </c>
      <c r="AA40" s="344"/>
      <c r="AB40" s="345"/>
      <c r="AC40" s="344"/>
      <c r="AD40" s="598"/>
      <c r="AE40" s="598"/>
      <c r="AF40" s="599"/>
      <c r="AG40" s="252"/>
      <c r="AH40" s="7" t="str">
        <f>IF(OR(ISERROR(Calculations!AF60),Calculations!C60=""),"",Calculations!AF60)</f>
        <v/>
      </c>
      <c r="AI40" s="134" t="str">
        <f>IF(OR(J40="",X40="",Y40="",U40="",$AL$9="FAIL"),"",Calculations!BT60)</f>
        <v/>
      </c>
      <c r="AJ40" s="134" t="str">
        <f>IF(OR(K40="",Y40="",Z40="",V40="",$AL$9="FAIL"),"",Calculations!BU60)</f>
        <v/>
      </c>
      <c r="AK40" s="275" t="str">
        <f t="shared" si="4"/>
        <v/>
      </c>
      <c r="AL40" s="275" t="str">
        <f t="shared" si="5"/>
        <v/>
      </c>
      <c r="AM40" s="623" t="str">
        <f t="shared" si="6"/>
        <v/>
      </c>
    </row>
    <row r="41" spans="1:39" ht="20.149999999999999" customHeight="1" x14ac:dyDescent="0.3">
      <c r="A41" s="3">
        <v>22</v>
      </c>
      <c r="B41" s="344"/>
      <c r="C41" s="571" t="str">
        <f t="shared" si="1"/>
        <v/>
      </c>
      <c r="D41" s="344" t="str">
        <f>IF(OR(B41="",C41=""),"",INDEX(References!$U$4:$U$44,MATCH(Calculations!I61,References!$T$4:$T$44,0)))</f>
        <v/>
      </c>
      <c r="E41" s="344" t="str">
        <f t="shared" si="2"/>
        <v/>
      </c>
      <c r="F41" s="344"/>
      <c r="G41" s="344"/>
      <c r="H41" s="344"/>
      <c r="I41" s="610"/>
      <c r="J41" s="610"/>
      <c r="K41" s="344"/>
      <c r="L41" s="344"/>
      <c r="M41" s="345"/>
      <c r="N41" s="345"/>
      <c r="O41" s="252"/>
      <c r="P41" s="610"/>
      <c r="Q41" s="610"/>
      <c r="R41" s="252"/>
      <c r="S41" s="283"/>
      <c r="T41" s="283"/>
      <c r="U41" s="470" t="str">
        <f t="shared" si="0"/>
        <v/>
      </c>
      <c r="V41" s="471" t="str">
        <f t="shared" si="3"/>
        <v/>
      </c>
      <c r="W41" s="251"/>
      <c r="X41" s="344"/>
      <c r="Y41" s="344"/>
      <c r="Z41" s="344" t="str">
        <f>IF(OR(B41="",C41=""),"",INDEX(References!$V$4:$V$44,MATCH(Calculations!$I61,References!$T$4:$T$44,0)))</f>
        <v/>
      </c>
      <c r="AA41" s="344"/>
      <c r="AB41" s="345"/>
      <c r="AC41" s="344"/>
      <c r="AD41" s="598"/>
      <c r="AE41" s="598"/>
      <c r="AF41" s="599"/>
      <c r="AG41" s="252"/>
      <c r="AH41" s="7" t="str">
        <f>IF(OR(ISERROR(Calculations!AF61),Calculations!C61=""),"",Calculations!AF61)</f>
        <v/>
      </c>
      <c r="AI41" s="134" t="str">
        <f>IF(OR(J41="",X41="",Y41="",U41="",$AL$9="FAIL"),"",Calculations!BT61)</f>
        <v/>
      </c>
      <c r="AJ41" s="134" t="str">
        <f>IF(OR(K41="",Y41="",Z41="",V41="",$AL$9="FAIL"),"",Calculations!BU61)</f>
        <v/>
      </c>
      <c r="AK41" s="275" t="str">
        <f t="shared" si="4"/>
        <v/>
      </c>
      <c r="AL41" s="275" t="str">
        <f t="shared" si="5"/>
        <v/>
      </c>
      <c r="AM41" s="623" t="str">
        <f t="shared" si="6"/>
        <v/>
      </c>
    </row>
    <row r="42" spans="1:39" ht="20.149999999999999" customHeight="1" x14ac:dyDescent="0.3">
      <c r="A42" s="3">
        <v>23</v>
      </c>
      <c r="B42" s="344"/>
      <c r="C42" s="571" t="str">
        <f t="shared" si="1"/>
        <v/>
      </c>
      <c r="D42" s="344" t="str">
        <f>IF(OR(B42="",C42=""),"",INDEX(References!$U$4:$U$44,MATCH(Calculations!I62,References!$T$4:$T$44,0)))</f>
        <v/>
      </c>
      <c r="E42" s="344" t="str">
        <f t="shared" si="2"/>
        <v/>
      </c>
      <c r="F42" s="344"/>
      <c r="G42" s="344"/>
      <c r="H42" s="344"/>
      <c r="I42" s="610"/>
      <c r="J42" s="610"/>
      <c r="K42" s="344"/>
      <c r="L42" s="344"/>
      <c r="M42" s="345"/>
      <c r="N42" s="345"/>
      <c r="O42" s="252"/>
      <c r="P42" s="610"/>
      <c r="Q42" s="610"/>
      <c r="R42" s="252"/>
      <c r="S42" s="283"/>
      <c r="T42" s="283"/>
      <c r="U42" s="470" t="str">
        <f t="shared" si="0"/>
        <v/>
      </c>
      <c r="V42" s="471" t="str">
        <f t="shared" si="3"/>
        <v/>
      </c>
      <c r="W42" s="251"/>
      <c r="X42" s="344"/>
      <c r="Y42" s="344"/>
      <c r="Z42" s="344" t="str">
        <f>IF(OR(B42="",C42=""),"",INDEX(References!$V$4:$V$44,MATCH(Calculations!$I62,References!$T$4:$T$44,0)))</f>
        <v/>
      </c>
      <c r="AA42" s="344"/>
      <c r="AB42" s="345"/>
      <c r="AC42" s="344"/>
      <c r="AD42" s="598"/>
      <c r="AE42" s="598"/>
      <c r="AF42" s="599"/>
      <c r="AG42" s="252"/>
      <c r="AH42" s="7" t="str">
        <f>IF(OR(ISERROR(Calculations!AF62),Calculations!C62=""),"",Calculations!AF62)</f>
        <v/>
      </c>
      <c r="AI42" s="134" t="str">
        <f>IF(OR(J42="",X42="",Y42="",U42="",$AL$9="FAIL"),"",Calculations!BT62)</f>
        <v/>
      </c>
      <c r="AJ42" s="134" t="str">
        <f>IF(OR(K42="",Y42="",Z42="",V42="",$AL$9="FAIL"),"",Calculations!BU62)</f>
        <v/>
      </c>
      <c r="AK42" s="275" t="str">
        <f t="shared" si="4"/>
        <v/>
      </c>
      <c r="AL42" s="275" t="str">
        <f t="shared" si="5"/>
        <v/>
      </c>
      <c r="AM42" s="623" t="str">
        <f t="shared" si="6"/>
        <v/>
      </c>
    </row>
    <row r="43" spans="1:39" ht="20.149999999999999" customHeight="1" x14ac:dyDescent="0.3">
      <c r="A43" s="3">
        <v>24</v>
      </c>
      <c r="B43" s="344"/>
      <c r="C43" s="571" t="str">
        <f t="shared" si="1"/>
        <v/>
      </c>
      <c r="D43" s="344" t="str">
        <f>IF(OR(B43="",C43=""),"",INDEX(References!$U$4:$U$44,MATCH(Calculations!I63,References!$T$4:$T$44,0)))</f>
        <v/>
      </c>
      <c r="E43" s="344" t="str">
        <f t="shared" si="2"/>
        <v/>
      </c>
      <c r="F43" s="344"/>
      <c r="G43" s="344"/>
      <c r="H43" s="344"/>
      <c r="I43" s="610"/>
      <c r="J43" s="610"/>
      <c r="K43" s="344"/>
      <c r="L43" s="344"/>
      <c r="M43" s="345"/>
      <c r="N43" s="345"/>
      <c r="O43" s="252"/>
      <c r="P43" s="610"/>
      <c r="Q43" s="610"/>
      <c r="R43" s="252"/>
      <c r="S43" s="283"/>
      <c r="T43" s="283"/>
      <c r="U43" s="470" t="str">
        <f t="shared" si="0"/>
        <v/>
      </c>
      <c r="V43" s="471" t="str">
        <f t="shared" si="3"/>
        <v/>
      </c>
      <c r="W43" s="251"/>
      <c r="X43" s="344"/>
      <c r="Y43" s="344"/>
      <c r="Z43" s="344" t="str">
        <f>IF(OR(B43="",C43=""),"",INDEX(References!$V$4:$V$44,MATCH(Calculations!$I63,References!$T$4:$T$44,0)))</f>
        <v/>
      </c>
      <c r="AA43" s="344"/>
      <c r="AB43" s="345"/>
      <c r="AC43" s="344"/>
      <c r="AD43" s="598"/>
      <c r="AE43" s="598"/>
      <c r="AF43" s="599"/>
      <c r="AG43" s="252"/>
      <c r="AH43" s="7" t="str">
        <f>IF(OR(ISERROR(Calculations!AF63),Calculations!C63=""),"",Calculations!AF63)</f>
        <v/>
      </c>
      <c r="AI43" s="134" t="str">
        <f>IF(OR(J43="",X43="",Y43="",U43="",$AL$9="FAIL"),"",Calculations!BT63)</f>
        <v/>
      </c>
      <c r="AJ43" s="134" t="str">
        <f>IF(OR(K43="",Y43="",Z43="",V43="",$AL$9="FAIL"),"",Calculations!BU63)</f>
        <v/>
      </c>
      <c r="AK43" s="275" t="str">
        <f t="shared" si="4"/>
        <v/>
      </c>
      <c r="AL43" s="275" t="str">
        <f t="shared" si="5"/>
        <v/>
      </c>
      <c r="AM43" s="623" t="str">
        <f t="shared" si="6"/>
        <v/>
      </c>
    </row>
    <row r="44" spans="1:39" ht="20.149999999999999" customHeight="1" x14ac:dyDescent="0.3">
      <c r="A44" s="3">
        <v>25</v>
      </c>
      <c r="B44" s="344"/>
      <c r="C44" s="571" t="str">
        <f t="shared" si="1"/>
        <v/>
      </c>
      <c r="D44" s="344" t="str">
        <f>IF(OR(B44="",C44=""),"",INDEX(References!$U$4:$U$44,MATCH(Calculations!I64,References!$T$4:$T$44,0)))</f>
        <v/>
      </c>
      <c r="E44" s="344" t="str">
        <f t="shared" si="2"/>
        <v/>
      </c>
      <c r="F44" s="344"/>
      <c r="G44" s="344"/>
      <c r="H44" s="344"/>
      <c r="I44" s="610"/>
      <c r="J44" s="610"/>
      <c r="K44" s="344"/>
      <c r="L44" s="344"/>
      <c r="M44" s="345"/>
      <c r="N44" s="345"/>
      <c r="O44" s="252"/>
      <c r="P44" s="610"/>
      <c r="Q44" s="610"/>
      <c r="R44" s="252"/>
      <c r="S44" s="283"/>
      <c r="T44" s="283"/>
      <c r="U44" s="470" t="str">
        <f t="shared" si="0"/>
        <v/>
      </c>
      <c r="V44" s="471" t="str">
        <f t="shared" si="3"/>
        <v/>
      </c>
      <c r="W44" s="251"/>
      <c r="X44" s="344"/>
      <c r="Y44" s="344"/>
      <c r="Z44" s="344" t="str">
        <f>IF(OR(B44="",C44=""),"",INDEX(References!$V$4:$V$44,MATCH(Calculations!$I64,References!$T$4:$T$44,0)))</f>
        <v/>
      </c>
      <c r="AA44" s="344"/>
      <c r="AB44" s="345"/>
      <c r="AC44" s="344"/>
      <c r="AD44" s="598"/>
      <c r="AE44" s="598"/>
      <c r="AF44" s="599"/>
      <c r="AG44" s="252"/>
      <c r="AH44" s="7" t="str">
        <f>IF(OR(ISERROR(Calculations!AF64),Calculations!C64=""),"",Calculations!AF64)</f>
        <v/>
      </c>
      <c r="AI44" s="134" t="str">
        <f>IF(OR(J44="",X44="",Y44="",U44="",$AL$9="FAIL"),"",Calculations!BT64)</f>
        <v/>
      </c>
      <c r="AJ44" s="134" t="str">
        <f>IF(OR(K44="",Y44="",Z44="",V44="",$AL$9="FAIL"),"",Calculations!BU64)</f>
        <v/>
      </c>
      <c r="AK44" s="275" t="str">
        <f t="shared" si="4"/>
        <v/>
      </c>
      <c r="AL44" s="275" t="str">
        <f t="shared" si="5"/>
        <v/>
      </c>
      <c r="AM44" s="623" t="str">
        <f t="shared" si="6"/>
        <v/>
      </c>
    </row>
    <row r="46" spans="1:39" x14ac:dyDescent="0.3">
      <c r="A46" s="300"/>
    </row>
    <row r="47" spans="1:39" ht="33" customHeight="1" x14ac:dyDescent="0.3"/>
    <row r="52" spans="1:36" x14ac:dyDescent="0.3">
      <c r="A52" s="277"/>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row>
    <row r="53" spans="1:36" x14ac:dyDescent="0.3">
      <c r="B53" s="379" t="s">
        <v>894</v>
      </c>
      <c r="C53" s="380" t="str">
        <f>Development!$B$6&amp;"_"&amp;Development!$B$5</f>
        <v>1.22.2024_2.0</v>
      </c>
      <c r="D53" s="380"/>
      <c r="E53" s="300"/>
      <c r="F53" s="300" t="str">
        <f>Development!$B$6&amp;"_"&amp;Development!$B$5</f>
        <v>1.22.2024_2.0</v>
      </c>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1" t="s">
        <v>895</v>
      </c>
      <c r="AI53" s="382" t="str">
        <f>Development!B6</f>
        <v>1.22.2024</v>
      </c>
      <c r="AJ53" s="382"/>
    </row>
  </sheetData>
  <dataConsolidate link="1"/>
  <mergeCells count="19">
    <mergeCell ref="J14:K14"/>
    <mergeCell ref="P17:Q17"/>
    <mergeCell ref="AH17:AJ17"/>
    <mergeCell ref="B17:N17"/>
    <mergeCell ref="S17:U17"/>
    <mergeCell ref="X17:AF17"/>
    <mergeCell ref="J15:K15"/>
    <mergeCell ref="G14:I14"/>
    <mergeCell ref="G15:I15"/>
    <mergeCell ref="L15:M15"/>
    <mergeCell ref="L14:M14"/>
    <mergeCell ref="AH8:AI9"/>
    <mergeCell ref="B2:T2"/>
    <mergeCell ref="B3:T3"/>
    <mergeCell ref="S13:U13"/>
    <mergeCell ref="B12:M12"/>
    <mergeCell ref="J13:K13"/>
    <mergeCell ref="G13:I13"/>
    <mergeCell ref="L13:M13"/>
  </mergeCells>
  <conditionalFormatting sqref="K20:K44">
    <cfRule type="expression" dxfId="23" priority="13" stopIfTrue="1">
      <formula>$D20=2</formula>
    </cfRule>
    <cfRule type="expression" dxfId="22" priority="14" stopIfTrue="1">
      <formula>$D20=5</formula>
    </cfRule>
  </conditionalFormatting>
  <conditionalFormatting sqref="M20:M44">
    <cfRule type="expression" dxfId="21" priority="28" stopIfTrue="1">
      <formula>$D20=4</formula>
    </cfRule>
  </conditionalFormatting>
  <conditionalFormatting sqref="M20:N44">
    <cfRule type="expression" dxfId="20" priority="19" stopIfTrue="1">
      <formula>$D20=""</formula>
    </cfRule>
  </conditionalFormatting>
  <conditionalFormatting sqref="N15">
    <cfRule type="expression" dxfId="19" priority="22" stopIfTrue="1">
      <formula>$D15=""</formula>
    </cfRule>
    <cfRule type="expression" dxfId="18" priority="23" stopIfTrue="1">
      <formula>$D15=5</formula>
    </cfRule>
    <cfRule type="expression" dxfId="17" priority="24" stopIfTrue="1">
      <formula>$D15=3</formula>
    </cfRule>
  </conditionalFormatting>
  <conditionalFormatting sqref="N20:N44">
    <cfRule type="expression" dxfId="16" priority="20" stopIfTrue="1">
      <formula>$D20=5</formula>
    </cfRule>
    <cfRule type="expression" dxfId="15" priority="21" stopIfTrue="1">
      <formula>$D20=3</formula>
    </cfRule>
  </conditionalFormatting>
  <conditionalFormatting sqref="AB20:AB44">
    <cfRule type="expression" dxfId="14" priority="17" stopIfTrue="1">
      <formula>OR($Z20=1,$Z20=3,$Z20=6)</formula>
    </cfRule>
    <cfRule type="expression" dxfId="13" priority="18" stopIfTrue="1">
      <formula>$D20=""</formula>
    </cfRule>
  </conditionalFormatting>
  <conditionalFormatting sqref="AD20:AD44">
    <cfRule type="expression" dxfId="12" priority="11" stopIfTrue="1">
      <formula>AND(OR($Z20=3,$Z20=4,$Z20=6),OR($Y20="Electric",$Y20="Other"))</formula>
    </cfRule>
  </conditionalFormatting>
  <conditionalFormatting sqref="AD20:AF44">
    <cfRule type="expression" dxfId="11" priority="15" stopIfTrue="1">
      <formula>$D20=""</formula>
    </cfRule>
  </conditionalFormatting>
  <conditionalFormatting sqref="AE20:AE44">
    <cfRule type="expression" dxfId="10" priority="10">
      <formula>OR($Y20="Other",$Y20="Electric")</formula>
    </cfRule>
  </conditionalFormatting>
  <conditionalFormatting sqref="AF20:AF44">
    <cfRule type="expression" dxfId="9" priority="12" stopIfTrue="1">
      <formula>AND($Y20&lt;&gt;"Electric",$Y20&lt;&gt;"None")</formula>
    </cfRule>
  </conditionalFormatting>
  <conditionalFormatting sqref="AH8">
    <cfRule type="expression" dxfId="8" priority="35" stopIfTrue="1">
      <formula>$AM$11="Ineligible"</formula>
    </cfRule>
  </conditionalFormatting>
  <conditionalFormatting sqref="AI20:AJ44">
    <cfRule type="expression" dxfId="7" priority="36" stopIfTrue="1">
      <formula>$U20=""</formula>
    </cfRule>
  </conditionalFormatting>
  <conditionalFormatting sqref="AK4:AK5 AH8">
    <cfRule type="expression" dxfId="6" priority="34" stopIfTrue="1">
      <formula>$AL$4="Total Expected Rebate has been capped at 70% of Total Estimated Cost"</formula>
    </cfRule>
  </conditionalFormatting>
  <dataValidations count="9">
    <dataValidation operator="lessThan" allowBlank="1" showInputMessage="1" showErrorMessage="1" error="Units 63 tons or larger must be submitted through the Custom Rebate Program." sqref="I20:I44" xr:uid="{E965F2A4-0DA1-418F-AC2B-3F5AD68E2A7D}"/>
    <dataValidation type="list" operator="greaterThanOrEqual" allowBlank="1" showInputMessage="1" showErrorMessage="1" sqref="X20:X44" xr:uid="{74492877-C165-4287-8E64-D69E852F4EDD}">
      <formula1>OFFSET(Start_ExistingUnitType,MATCH(B20&amp;" "&amp;C20&amp;" "&amp;E20,ExistingUnitType,0)-1,0,1,6)</formula1>
    </dataValidation>
    <dataValidation type="decimal" allowBlank="1" showInputMessage="1" showErrorMessage="1" sqref="L20:L44" xr:uid="{BCB89EA4-50E5-420F-ABF7-FD18A879ABF7}">
      <formula1>0</formula1>
      <formula2>35</formula2>
    </dataValidation>
    <dataValidation type="decimal" operator="greaterThanOrEqual" allowBlank="1" showInputMessage="1" showErrorMessage="1" sqref="J19:J44 W19:W44 U19:V19 Z19:AC19 I19 AD19:AG44 M19:T44" xr:uid="{482DE812-D869-41A5-9958-204AC56B3CBD}">
      <formula1>0</formula1>
    </dataValidation>
    <dataValidation operator="greaterThanOrEqual" allowBlank="1" showInputMessage="1" showErrorMessage="1" sqref="U20:V44 AH19:AH44 X19:Y19" xr:uid="{DCD3EBD4-672B-41B9-BBCE-8E61C2D55655}"/>
    <dataValidation type="decimal" allowBlank="1" showInputMessage="1" showErrorMessage="1" sqref="K19:K44 AB20:AB44" xr:uid="{3DFC748B-ADEE-40C0-A740-05B8C96799AF}">
      <formula1>0</formula1>
      <formula2>30</formula2>
    </dataValidation>
    <dataValidation type="decimal" allowBlank="1" showInputMessage="1" showErrorMessage="1" sqref="L19 AC20:AC44" xr:uid="{60ECEF80-5BF5-4BBF-8346-0BEEE0120426}">
      <formula1>0</formula1>
      <formula2>15</formula2>
    </dataValidation>
    <dataValidation type="list" allowBlank="1" showInputMessage="1" showErrorMessage="1" sqref="E20:E44" xr:uid="{95EFECE6-F03D-4144-97DF-8EA2F1A414D9}">
      <formula1>OFFSET(Start_SubCategory,0,MATCH(B20,SubCategory,0)-1,4)</formula1>
    </dataValidation>
    <dataValidation type="list" allowBlank="1" showInputMessage="1" showErrorMessage="1" sqref="B20:B44" xr:uid="{5FEE20E0-7A53-4562-8222-EB971A63A68E}">
      <formula1>WholeBuilding_EB</formula1>
    </dataValidation>
  </dataValidations>
  <hyperlinks>
    <hyperlink ref="G11:I11" r:id="rId1" display="https:\\nyserda.ny.gov/qualified-integrated-controls" xr:uid="{A79A2982-F711-4177-A718-CD88B8C01783}"/>
  </hyperlinks>
  <pageMargins left="0.7" right="0.7" top="0.75" bottom="0.75" header="0.3" footer="0.3"/>
  <pageSetup paperSize="5" scale="42"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43037" r:id="rId5" name="CheckBox1">
          <controlPr defaultSize="0" autoLine="0" autoPict="0" r:id="rId6">
            <anchor moveWithCells="1">
              <from>
                <xdr:col>28</xdr:col>
                <xdr:colOff>641350</xdr:colOff>
                <xdr:row>12</xdr:row>
                <xdr:rowOff>323850</xdr:rowOff>
              </from>
              <to>
                <xdr:col>30</xdr:col>
                <xdr:colOff>241300</xdr:colOff>
                <xdr:row>13</xdr:row>
                <xdr:rowOff>107950</xdr:rowOff>
              </to>
            </anchor>
          </controlPr>
        </control>
      </mc:Choice>
      <mc:Fallback>
        <control shapeId="43037" r:id="rId5" name="CheckBox1"/>
      </mc:Fallback>
    </mc:AlternateContent>
    <mc:AlternateContent xmlns:mc="http://schemas.openxmlformats.org/markup-compatibility/2006">
      <mc:Choice Requires="x14">
        <control shapeId="43009" r:id="rId7" name="CommandButton1">
          <controlPr defaultSize="0" autoLine="0" autoPict="0" r:id="rId8">
            <anchor>
              <from>
                <xdr:col>27</xdr:col>
                <xdr:colOff>222250</xdr:colOff>
                <xdr:row>8</xdr:row>
                <xdr:rowOff>114300</xdr:rowOff>
              </from>
              <to>
                <xdr:col>29</xdr:col>
                <xdr:colOff>361950</xdr:colOff>
                <xdr:row>10</xdr:row>
                <xdr:rowOff>133350</xdr:rowOff>
              </to>
            </anchor>
          </controlPr>
        </control>
      </mc:Choice>
      <mc:Fallback>
        <control shapeId="43009" r:id="rId7" name="CommandButton1"/>
      </mc:Fallback>
    </mc:AlternateContent>
    <mc:AlternateContent xmlns:mc="http://schemas.openxmlformats.org/markup-compatibility/2006">
      <mc:Choice Requires="x14">
        <control shapeId="43010" r:id="rId9" name="Group Box 2">
          <controlPr defaultSize="0" autoFill="0" autoPict="0">
            <anchor moveWithCells="1">
              <from>
                <xdr:col>23</xdr:col>
                <xdr:colOff>0</xdr:colOff>
                <xdr:row>3</xdr:row>
                <xdr:rowOff>660400</xdr:rowOff>
              </from>
              <to>
                <xdr:col>26</xdr:col>
                <xdr:colOff>438150</xdr:colOff>
                <xdr:row>9</xdr:row>
                <xdr:rowOff>12700</xdr:rowOff>
              </to>
            </anchor>
          </controlPr>
        </control>
      </mc:Choice>
    </mc:AlternateContent>
  </controls>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AEC104B0-33A4-4EA5-B90F-E2624724BA29}">
          <x14:formula1>
            <xm:f>References!$B$11:$B$17</xm:f>
          </x14:formula1>
          <xm:sqref>Y20:Y44</xm:sqref>
        </x14:dataValidation>
        <x14:dataValidation type="list" allowBlank="1" showInputMessage="1" showErrorMessage="1" xr:uid="{BFF491CF-583A-40B9-B698-A8EF147F77AF}">
          <x14:formula1>
            <xm:f>References!$BT$3:$BT$6</xm:f>
          </x14:formula1>
          <xm:sqref>B15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IPLabel xmlns="46183eef-e5b6-4449-b443-53ec3f5c91f4">
      <Value xmlns="46183eef-e5b6-4449-b443-53ec3f5c91f4">Unrestricted</Value>
    </SIPLabel>
    <SIPLabel_OCI xmlns="46183eef-e5b6-4449-b443-53ec3f5c91f4" xsi:nil="true"/>
    <SIPLabel_Specialty xmlns="46183eef-e5b6-4449-b443-53ec3f5c91f4"/>
    <SIPLabel_ECICountry xmlns="46183eef-e5b6-4449-b443-53ec3f5c91f4"/>
    <SIPLabel_TPPI xmlns="46183eef-e5b6-4449-b443-53ec3f5c91f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1 6 " ? > < D a t a M a s h u p   x m l n s = " h t t p : / / s c h e m a s . m i c r o s o f t . c o m / D a t a M a s h u p " > A A A A A B M D A A B Q S w M E F A A C A A g A l 2 h 3 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C X a H d 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2 h 3 U i i K R 7 g O A A A A E Q A A A B M A H A B G b 3 J t d W x h c y 9 T Z W N 0 a W 9 u M S 5 t I K I Y A C i g F A A A A A A A A A A A A A A A A A A A A A A A A A A A A C t O T S 7 J z M 9 T C I b Q h t Y A U E s B A i 0 A F A A C A A g A l 2 h 3 U i o e J 9 O j A A A A 9 Q A A A B I A A A A A A A A A A A A A A A A A A A A A A E N v b m Z p Z y 9 Q Y W N r Y W d l L n h t b F B L A Q I t A B Q A A g A I A J d o d 1 I P y u m r p A A A A O k A A A A T A A A A A A A A A A A A A A A A A O 8 A A A B b Q 2 9 u d G V u d F 9 U e X B l c 1 0 u e G 1 s U E s B A i 0 A F A A C A A g A l 2 h 3 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B O T H q 4 A d F G j Z 5 j 8 h 6 x E m Q A A A A A A g A A A A A A A 2 Y A A M A A A A A Q A A A A 2 D P X B e w Y d B L s v X I O 1 o s G v Q A A A A A E g A A A o A A A A B A A A A A 1 5 S b U / G D k D J G v 5 Q F T V K J O U A A A A G U r V d S F k n z G 6 J V Z W s K 9 d X V 5 9 m v 1 E m d w 1 X R U E M U H V B g m W o a e L 0 u q M J f X l Y n J 5 t + j s + n c s g 2 C 3 H J p 4 g n Q l p V M u g + W r t f f t H 8 x A 4 l p k e n P s V o u F A A A A L c w G B T B g U n f e U s + Q 4 T N W t U P L y Z l < / D a t a M a s h u p > 
</file>

<file path=customXml/item5.xml><?xml version="1.0" encoding="utf-8"?>
<ct:contentTypeSchema xmlns:ct="http://schemas.microsoft.com/office/2006/metadata/contentType" xmlns:ma="http://schemas.microsoft.com/office/2006/metadata/properties/metaAttributes" ct:_="" ma:_="" ma:contentTypeName="Document" ma:contentTypeID="0x01010074E4E7B18C43504EA69353E1CE344991" ma:contentTypeVersion="8" ma:contentTypeDescription="Create a new document." ma:contentTypeScope="" ma:versionID="7a26021ff758a5b82f1640e90da6cb55">
  <xsd:schema xmlns:xsd="http://www.w3.org/2001/XMLSchema" xmlns:xs="http://www.w3.org/2001/XMLSchema" xmlns:p="http://schemas.microsoft.com/office/2006/metadata/properties" xmlns:ns2="46183eef-e5b6-4449-b443-53ec3f5c91f4" targetNamespace="http://schemas.microsoft.com/office/2006/metadata/properties" ma:root="true" ma:fieldsID="c9e9b716727f7648ff7027e4aed31fa2" ns2:_="">
    <xsd:import namespace="46183eef-e5b6-4449-b443-53ec3f5c91f4"/>
    <xsd:element name="properties">
      <xsd:complexType>
        <xsd:sequence>
          <xsd:element name="documentManagement">
            <xsd:complexType>
              <xsd:all>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Label" ma:index="8"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9"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0" nillable="true" ma:displayName="Organizational Conflict of Interest" ma:internalName="SIPLabel_OCI">
      <xsd:simpleType>
        <xsd:restriction base="dms:Text"/>
      </xsd:simpleType>
    </xsd:element>
    <xsd:element name="SIPLabel_TPPI" ma:index="11" nillable="true" ma:displayName="Third Party" ma:internalName="SIPLabel_TPPI">
      <xsd:simpleType>
        <xsd:restriction base="dms:Text"/>
      </xsd:simpleType>
    </xsd:element>
    <xsd:element name="SIPLabel_Specialty" ma:index="12"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02E609-F82F-47D6-8EE1-743D78F54851}">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46183eef-e5b6-4449-b443-53ec3f5c91f4"/>
    <ds:schemaRef ds:uri="http://www.w3.org/XML/1998/namespace"/>
    <ds:schemaRef ds:uri="http://purl.org/dc/dcmitype/"/>
  </ds:schemaRefs>
</ds:datastoreItem>
</file>

<file path=customXml/itemProps2.xml><?xml version="1.0" encoding="utf-8"?>
<ds:datastoreItem xmlns:ds="http://schemas.openxmlformats.org/officeDocument/2006/customXml" ds:itemID="{A86975CA-D1B6-454B-86A2-DF7CD31DDD31}">
  <ds:schemaRefs>
    <ds:schemaRef ds:uri="http://schemas.microsoft.com/sharepoint/v3/contenttype/forms"/>
  </ds:schemaRefs>
</ds:datastoreItem>
</file>

<file path=customXml/itemProps3.xml><?xml version="1.0" encoding="utf-8"?>
<ds:datastoreItem xmlns:ds="http://schemas.openxmlformats.org/officeDocument/2006/customXml" ds:itemID="{C38F16A9-41DE-4D62-A0C0-F709F7984CFF}">
  <ds:schemaRefs>
    <ds:schemaRef ds:uri="http://schemas.microsoft.com/office/2006/metadata/longProperties"/>
  </ds:schemaRefs>
</ds:datastoreItem>
</file>

<file path=customXml/itemProps4.xml><?xml version="1.0" encoding="utf-8"?>
<ds:datastoreItem xmlns:ds="http://schemas.openxmlformats.org/officeDocument/2006/customXml" ds:itemID="{54E8F897-5B74-4D4B-B46C-F10F50ED9E0D}">
  <ds:schemaRefs>
    <ds:schemaRef ds:uri="http://schemas.microsoft.com/DataMashup"/>
  </ds:schemaRefs>
</ds:datastoreItem>
</file>

<file path=customXml/itemProps5.xml><?xml version="1.0" encoding="utf-8"?>
<ds:datastoreItem xmlns:ds="http://schemas.openxmlformats.org/officeDocument/2006/customXml" ds:itemID="{04826F37-4E15-4ECA-9318-382C277874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63</vt:i4>
      </vt:variant>
    </vt:vector>
  </HeadingPairs>
  <TitlesOfParts>
    <vt:vector size="75" baseType="lpstr">
      <vt:lpstr>Instructions</vt:lpstr>
      <vt:lpstr>Customer Information</vt:lpstr>
      <vt:lpstr>Terms and Conditions</vt:lpstr>
      <vt:lpstr>Guidelines</vt:lpstr>
      <vt:lpstr>Required Documents</vt:lpstr>
      <vt:lpstr>Eligibility Table</vt:lpstr>
      <vt:lpstr>HVAC Worksheet</vt:lpstr>
      <vt:lpstr>Ventilation</vt:lpstr>
      <vt:lpstr>ccASHP Inspection Form</vt:lpstr>
      <vt:lpstr>ERV-HRV Inspection Form</vt:lpstr>
      <vt:lpstr>HVLS Inspection Form</vt:lpstr>
      <vt:lpstr>Summary</vt:lpstr>
      <vt:lpstr>Ventilation!Account_Name</vt:lpstr>
      <vt:lpstr>'Whole Building ccASHP Worksheet'!Account_Name</vt:lpstr>
      <vt:lpstr>Ventilation!BuildingType</vt:lpstr>
      <vt:lpstr>'Whole Building ccASHP Worksheet'!BuildingType</vt:lpstr>
      <vt:lpstr>BuildingType</vt:lpstr>
      <vt:lpstr>BuildingType_List</vt:lpstr>
      <vt:lpstr>Code_Table</vt:lpstr>
      <vt:lpstr>Cust_Building_Type</vt:lpstr>
      <vt:lpstr>Ventilation!Customer_Info</vt:lpstr>
      <vt:lpstr>'Whole Building ccASHP Worksheet'!Customer_Info</vt:lpstr>
      <vt:lpstr>Ventilation!CustomerInfo</vt:lpstr>
      <vt:lpstr>'Whole Building ccASHP Worksheet'!CustomerInfo</vt:lpstr>
      <vt:lpstr>Ventilation!CustomerInputs</vt:lpstr>
      <vt:lpstr>'Whole Building ccASHP Worksheet'!CustomerInputs</vt:lpstr>
      <vt:lpstr>'Whole Building ccASHP Worksheet'!Equipment_Info</vt:lpstr>
      <vt:lpstr>EquipmentTypeEE</vt:lpstr>
      <vt:lpstr>EquipmentTypeNC</vt:lpstr>
      <vt:lpstr>'Whole Building ccASHP Worksheet'!EquipTypeDD</vt:lpstr>
      <vt:lpstr>ERVHRV_Info</vt:lpstr>
      <vt:lpstr>Existing_FanType</vt:lpstr>
      <vt:lpstr>'Whole Building ccASHP Worksheet'!ExistingEquipToggleCI</vt:lpstr>
      <vt:lpstr>'Whole Building ccASHP Worksheet'!ExistingUnitInventory</vt:lpstr>
      <vt:lpstr>ExistingUnitType</vt:lpstr>
      <vt:lpstr>Fan_BuildingType</vt:lpstr>
      <vt:lpstr>Fan_Info</vt:lpstr>
      <vt:lpstr>FanType</vt:lpstr>
      <vt:lpstr>Ventilation!HeaderTopCI</vt:lpstr>
      <vt:lpstr>'Whole Building ccASHP Worksheet'!HeaderTopCI</vt:lpstr>
      <vt:lpstr>'Whole Building ccASHP Worksheet'!HeadingsCI</vt:lpstr>
      <vt:lpstr>HeadingsSY</vt:lpstr>
      <vt:lpstr>HVAC_Equipment_Info</vt:lpstr>
      <vt:lpstr>HVAC_T1T2ReferenceTable</vt:lpstr>
      <vt:lpstr>'Whole Building ccASHP Worksheet'!HVACInventory</vt:lpstr>
      <vt:lpstr>Import_HVAC</vt:lpstr>
      <vt:lpstr>Manufacturer2</vt:lpstr>
      <vt:lpstr>ManufacturerList</vt:lpstr>
      <vt:lpstr>'Customer Information'!OLE_LINK1</vt:lpstr>
      <vt:lpstr>Org_Type</vt:lpstr>
      <vt:lpstr>'Customer Information'!Print_Area</vt:lpstr>
      <vt:lpstr>Guidelines!Print_Area</vt:lpstr>
      <vt:lpstr>Instructions!Print_Area</vt:lpstr>
      <vt:lpstr>'Required Documents'!Print_Area</vt:lpstr>
      <vt:lpstr>'Terms and Conditions'!Print_Area</vt:lpstr>
      <vt:lpstr>Size_Table</vt:lpstr>
      <vt:lpstr>SizeCategory</vt:lpstr>
      <vt:lpstr>Start_ExistingUnitType</vt:lpstr>
      <vt:lpstr>Start_SizeCategory</vt:lpstr>
      <vt:lpstr>Start_SubCategory</vt:lpstr>
      <vt:lpstr>SubCategory</vt:lpstr>
      <vt:lpstr>SummaryRow</vt:lpstr>
      <vt:lpstr>T0_ReferenceTable</vt:lpstr>
      <vt:lpstr>T1T2_ReferenceTable</vt:lpstr>
      <vt:lpstr>Ventilation!Vent_Equipment_Info</vt:lpstr>
      <vt:lpstr>Ventilation_AirCooledUnit</vt:lpstr>
      <vt:lpstr>Ventilation_Heating_Equipment</vt:lpstr>
      <vt:lpstr>Ventilation_IEERLookup</vt:lpstr>
      <vt:lpstr>Ventilation_lookup</vt:lpstr>
      <vt:lpstr>Ventilation_SEER_Existing</vt:lpstr>
      <vt:lpstr>Ventilation_WatercooledUnit</vt:lpstr>
      <vt:lpstr>Version</vt:lpstr>
      <vt:lpstr>WholeBuilding_EB</vt:lpstr>
      <vt:lpstr>WholeBuilding_NC</vt:lpstr>
      <vt:lpstr>WkshtName</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2023-11-01T14:19:55Z</cp:lastPrinted>
  <dcterms:created xsi:type="dcterms:W3CDTF">2011-01-25T18:58:20Z</dcterms:created>
  <dcterms:modified xsi:type="dcterms:W3CDTF">2024-01-19T20:20:41Z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