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21.xml" ContentType="application/vnd.ms-excel.controlproperties+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ctrlProps/ctrlProp22.xml" ContentType="application/vnd.ms-excel.controlproperties+xml"/>
  <Override PartName="/xl/drawings/drawing9.xml" ContentType="application/vnd.openxmlformats-officedocument.drawing+xml"/>
  <Override PartName="/xl/ctrlProps/ctrlProp23.xml" ContentType="application/vnd.ms-excel.controlproperties+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employees.root.local\pw\EFF\Shared\ees_mgmt\11_PSEG-Program Planning\Applications\2025 Active\HVAC\"/>
    </mc:Choice>
  </mc:AlternateContent>
  <xr:revisionPtr revIDLastSave="0" documentId="8_{814DE0D1-43A7-4037-9659-E08C56DF8A71}" xr6:coauthVersionLast="47" xr6:coauthVersionMax="47" xr10:uidLastSave="{00000000-0000-0000-0000-000000000000}"/>
  <workbookProtection workbookAlgorithmName="SHA-512" workbookHashValue="icD1HUJM5wJY5eMHIe5wt9FL0fv701yr5NAYVoc4l4GsxPgM4ub0uM/bPCjqqaL+kEhQhRtSW9aN3heDeO4uqg==" workbookSaltValue="+DEgt4n0BzAnzWO/Pk7e5Q==" workbookSpinCount="100000" lockStructure="1"/>
  <bookViews>
    <workbookView xWindow="28680" yWindow="15" windowWidth="29040" windowHeight="15840" tabRatio="783" firstSheet="1" activeTab="1" xr2:uid="{00000000-000D-0000-FFFF-FFFF00000000}"/>
  </bookViews>
  <sheets>
    <sheet name="Instructions" sheetId="1" r:id="rId1"/>
    <sheet name="Customer Information" sheetId="15" r:id="rId2"/>
    <sheet name="Terms and Conditions" sheetId="16" r:id="rId3"/>
    <sheet name="Guidelines" sheetId="17" r:id="rId4"/>
    <sheet name="Required Documents" sheetId="18" r:id="rId5"/>
    <sheet name="Eligibility Table" sheetId="14" r:id="rId6"/>
    <sheet name="HVAC Inputs" sheetId="2" r:id="rId7"/>
    <sheet name="Part Building ccASHP Worksheet" sheetId="20" r:id="rId8"/>
    <sheet name="Ventilation" sheetId="23" r:id="rId9"/>
    <sheet name="Summary" sheetId="9" r:id="rId10"/>
    <sheet name="Calculations" sheetId="27" state="veryHidden" r:id="rId11"/>
    <sheet name="HVAC References" sheetId="26" state="veryHidden" r:id="rId12"/>
    <sheet name="Development" sheetId="8" state="veryHidden" r:id="rId13"/>
    <sheet name="CEE Comparison" sheetId="10" state="veryHidden" r:id="rId14"/>
  </sheets>
  <definedNames>
    <definedName name="_xlnm._FilterDatabase" localSheetId="11" hidden="1">'HVAC References'!$E$3:$E$26</definedName>
    <definedName name="Z_413575D0_A88C_4EFD_A604_365F28B09173_.wvu.Cols" localSheetId="1" hidden="1">'Customer Information'!$M:$IV</definedName>
    <definedName name="Z_413575D0_A88C_4EFD_A604_365F28B09173_.wvu.Cols" localSheetId="3" hidden="1">Guidelines!$M:$IV</definedName>
    <definedName name="Z_413575D0_A88C_4EFD_A604_365F28B09173_.wvu.Cols" localSheetId="4" hidden="1">'Required Documents'!$H:$IV</definedName>
    <definedName name="Z_413575D0_A88C_4EFD_A604_365F28B09173_.wvu.Cols" localSheetId="2" hidden="1">'Terms and Conditions'!$L:$IV</definedName>
    <definedName name="Z_413575D0_A88C_4EFD_A604_365F28B09173_.wvu.PrintArea" localSheetId="1" hidden="1">'Customer Information'!$A$1:$L$49</definedName>
    <definedName name="Z_413575D0_A88C_4EFD_A604_365F28B09173_.wvu.PrintArea" localSheetId="3" hidden="1">Guidelines!$A$1:$L$44</definedName>
    <definedName name="Z_413575D0_A88C_4EFD_A604_365F28B09173_.wvu.PrintArea" localSheetId="4" hidden="1">#REF!</definedName>
    <definedName name="Z_413575D0_A88C_4EFD_A604_365F28B09173_.wvu.PrintArea" localSheetId="2" hidden="1">'Terms and Conditions'!$A$1:$K$79</definedName>
    <definedName name="Z_413575D0_A88C_4EFD_A604_365F28B09173_.wvu.Rows" localSheetId="1" hidden="1">'Customer Information'!$49:$65537,'Customer Information'!$43:$48</definedName>
    <definedName name="Z_413575D0_A88C_4EFD_A604_365F28B09173_.wvu.Rows" localSheetId="3" hidden="1">Guidelines!$51:$65540,Guidelines!$45:$48</definedName>
    <definedName name="Z_413575D0_A88C_4EFD_A604_365F28B09173_.wvu.Rows" localSheetId="4" hidden="1">'Required Documents'!$39:$65543</definedName>
    <definedName name="Z_413575D0_A88C_4EFD_A604_365F28B09173_.wvu.Rows" localSheetId="2" hidden="1">'Terms and Conditions'!$80:$65536</definedName>
    <definedName name="Z_BE55F258_44BC_4FB6_88BE_39351DF10384_.wvu.Cols" localSheetId="5" hidden="1">'Eligibility Table'!#REF!,'Eligibility Table'!$L:$IK</definedName>
    <definedName name="Z_BE55F258_44BC_4FB6_88BE_39351DF10384_.wvu.Cols" localSheetId="6" hidden="1">'HVAC Inputs'!#REF!</definedName>
    <definedName name="Z_BE55F258_44BC_4FB6_88BE_39351DF10384_.wvu.Cols" localSheetId="0" hidden="1">Instructions!$P:$IV</definedName>
    <definedName name="Z_BE55F258_44BC_4FB6_88BE_39351DF10384_.wvu.Cols" localSheetId="7" hidden="1">'Part Building ccASHP Worksheet'!#REF!</definedName>
    <definedName name="Z_BE55F258_44BC_4FB6_88BE_39351DF10384_.wvu.Cols" localSheetId="8" hidden="1">Ventilation!#REF!</definedName>
    <definedName name="Z_BE55F258_44BC_4FB6_88BE_39351DF10384_.wvu.Rows" localSheetId="5" hidden="1">'Eligibility Table'!$58:$65601,'Eligibility Table'!$50:$57</definedName>
    <definedName name="Z_BE55F258_44BC_4FB6_88BE_39351DF10384_.wvu.Rows" localSheetId="6" hidden="1">'HVAC Inputs'!$44:$65536</definedName>
    <definedName name="Z_BE55F258_44BC_4FB6_88BE_39351DF10384_.wvu.Rows" localSheetId="0" hidden="1">Instructions!$31:$65537</definedName>
    <definedName name="Z_BE55F258_44BC_4FB6_88BE_39351DF10384_.wvu.Rows" localSheetId="7" hidden="1">'Part Building ccASHP Worksheet'!$47:$65539</definedName>
    <definedName name="Z_BE55F258_44BC_4FB6_88BE_39351DF10384_.wvu.Rows" localSheetId="8" hidden="1">Ventilation!$70:$65562</definedName>
  </definedNames>
  <calcPr calcId="191029"/>
  <customWorkbookViews>
    <customWorkbookView name="Keith Molloy - Personal View" guid="{BE55F258-44BC-4FB6-88BE-39351DF10384}" mergeInterval="0" personalView="1" maximized="1" windowWidth="1680" windowHeight="747" tabRatio="66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4" i="20" l="1"/>
  <c r="F9" i="27"/>
  <c r="G9" i="27"/>
  <c r="F10" i="27"/>
  <c r="G10" i="27"/>
  <c r="F11" i="27"/>
  <c r="G11" i="27"/>
  <c r="F12" i="27"/>
  <c r="G12" i="27"/>
  <c r="F13" i="27"/>
  <c r="G13" i="27"/>
  <c r="F14" i="27"/>
  <c r="G14" i="27"/>
  <c r="F15" i="27"/>
  <c r="G15" i="27"/>
  <c r="F16" i="27"/>
  <c r="G16" i="27"/>
  <c r="F17" i="27"/>
  <c r="G17" i="27"/>
  <c r="F18" i="27"/>
  <c r="G18" i="27"/>
  <c r="F19" i="27"/>
  <c r="G19" i="27"/>
  <c r="F20" i="27"/>
  <c r="G20" i="27"/>
  <c r="F21" i="27"/>
  <c r="G21" i="27"/>
  <c r="F22" i="27"/>
  <c r="G22" i="27"/>
  <c r="F23" i="27"/>
  <c r="G23" i="27"/>
  <c r="F24" i="27"/>
  <c r="G24" i="27"/>
  <c r="F25" i="27"/>
  <c r="G25" i="27"/>
  <c r="F26" i="27"/>
  <c r="G26" i="27"/>
  <c r="F27" i="27"/>
  <c r="G27" i="27"/>
  <c r="F28" i="27"/>
  <c r="G28" i="27"/>
  <c r="F29" i="27"/>
  <c r="G29" i="27"/>
  <c r="F30" i="27"/>
  <c r="G30" i="27"/>
  <c r="R9" i="27"/>
  <c r="R10" i="27"/>
  <c r="R11" i="27"/>
  <c r="R12" i="27"/>
  <c r="R13" i="27"/>
  <c r="R14" i="27"/>
  <c r="R15" i="27"/>
  <c r="R16" i="27"/>
  <c r="R17" i="27"/>
  <c r="R18" i="27"/>
  <c r="R19" i="27"/>
  <c r="R20" i="27"/>
  <c r="R21" i="27"/>
  <c r="R22" i="27"/>
  <c r="R23" i="27"/>
  <c r="R24" i="27"/>
  <c r="R25" i="27"/>
  <c r="R26" i="27"/>
  <c r="R27" i="27"/>
  <c r="R28" i="27"/>
  <c r="R29" i="27"/>
  <c r="R30" i="27"/>
  <c r="H188" i="26"/>
  <c r="H187" i="26"/>
  <c r="W21" i="23" l="1"/>
  <c r="W22" i="23"/>
  <c r="W23" i="23"/>
  <c r="W24" i="23"/>
  <c r="W25" i="23"/>
  <c r="W26" i="23"/>
  <c r="W27" i="23"/>
  <c r="W28" i="23"/>
  <c r="I52" i="23" l="1"/>
  <c r="I53" i="23"/>
  <c r="I54" i="23"/>
  <c r="I55" i="23"/>
  <c r="B100" i="27" l="1"/>
  <c r="W100" i="27" s="1"/>
  <c r="C100" i="27"/>
  <c r="B101" i="27"/>
  <c r="C101" i="27"/>
  <c r="B102" i="27"/>
  <c r="C102" i="27"/>
  <c r="B103" i="27"/>
  <c r="W103" i="27" s="1"/>
  <c r="C103" i="27"/>
  <c r="F102" i="27" l="1"/>
  <c r="W102" i="27"/>
  <c r="E101" i="27"/>
  <c r="I101" i="27" s="1"/>
  <c r="Q101" i="27" s="1"/>
  <c r="W101" i="27"/>
  <c r="E100" i="27"/>
  <c r="I100" i="27" s="1"/>
  <c r="Q100" i="27" s="1"/>
  <c r="E102" i="27"/>
  <c r="I102" i="27" s="1"/>
  <c r="Q102" i="27" s="1"/>
  <c r="G101" i="27"/>
  <c r="F101" i="27"/>
  <c r="G103" i="27"/>
  <c r="F103" i="27"/>
  <c r="G100" i="27"/>
  <c r="E103" i="27"/>
  <c r="I103" i="27" s="1"/>
  <c r="Q103" i="27" s="1"/>
  <c r="F100" i="27"/>
  <c r="G102" i="27"/>
  <c r="B1" i="9"/>
  <c r="B1" i="23"/>
  <c r="B1" i="20"/>
  <c r="B1" i="2"/>
  <c r="A1" i="14"/>
  <c r="B2" i="15"/>
  <c r="B2" i="9"/>
  <c r="U100" i="27"/>
  <c r="U101" i="27"/>
  <c r="U102" i="27"/>
  <c r="U103" i="27"/>
  <c r="C99" i="27"/>
  <c r="B99" i="27"/>
  <c r="G51" i="23"/>
  <c r="V99" i="27" s="1"/>
  <c r="G52" i="23"/>
  <c r="V100" i="27" s="1"/>
  <c r="G53" i="23"/>
  <c r="V101" i="27" s="1"/>
  <c r="G54" i="23"/>
  <c r="V102" i="27" s="1"/>
  <c r="G55" i="23"/>
  <c r="V103" i="27" s="1"/>
  <c r="G50" i="23"/>
  <c r="N102" i="27" l="1"/>
  <c r="N101" i="27"/>
  <c r="J100" i="27"/>
  <c r="M100" i="27" s="1"/>
  <c r="K100" i="27"/>
  <c r="N100" i="27"/>
  <c r="J101" i="27"/>
  <c r="K101" i="27"/>
  <c r="J103" i="27"/>
  <c r="K103" i="27"/>
  <c r="N103" i="27"/>
  <c r="K102" i="27"/>
  <c r="J102" i="27"/>
  <c r="L102" i="27" s="1"/>
  <c r="R102" i="27" s="1"/>
  <c r="X100" i="27"/>
  <c r="X103" i="27"/>
  <c r="X102" i="27"/>
  <c r="X101" i="27"/>
  <c r="U99" i="27"/>
  <c r="C68" i="9" s="1"/>
  <c r="G99" i="27"/>
  <c r="E99" i="27"/>
  <c r="I99" i="27" s="1"/>
  <c r="Q99" i="27" s="1"/>
  <c r="F99" i="27"/>
  <c r="J99" i="27" s="1"/>
  <c r="H68" i="9" l="1"/>
  <c r="D68" i="9" s="1"/>
  <c r="L100" i="27"/>
  <c r="R100" i="27" s="1"/>
  <c r="O100" i="27"/>
  <c r="S100" i="27" s="1"/>
  <c r="L103" i="27"/>
  <c r="R103" i="27" s="1"/>
  <c r="L101" i="27"/>
  <c r="R101" i="27" s="1"/>
  <c r="M101" i="27"/>
  <c r="O101" i="27" s="1"/>
  <c r="S101" i="27" s="1"/>
  <c r="M102" i="27"/>
  <c r="O102" i="27" s="1"/>
  <c r="S102" i="27" s="1"/>
  <c r="M99" i="27"/>
  <c r="M103" i="27"/>
  <c r="O103" i="27" s="1"/>
  <c r="S103" i="27" s="1"/>
  <c r="K99" i="27"/>
  <c r="N99" i="27"/>
  <c r="L99" i="27" l="1"/>
  <c r="R99" i="27" s="1"/>
  <c r="I68" i="9" s="1"/>
  <c r="E68" i="9" s="1"/>
  <c r="O99" i="27"/>
  <c r="S99" i="27" l="1"/>
  <c r="J68" i="9" s="1"/>
  <c r="F68" i="9" s="1"/>
  <c r="H85" i="27"/>
  <c r="I85" i="27"/>
  <c r="D85" i="27" s="1"/>
  <c r="J85" i="27"/>
  <c r="K85" i="27"/>
  <c r="L85" i="27"/>
  <c r="M85" i="27"/>
  <c r="H86" i="27"/>
  <c r="I86" i="27"/>
  <c r="D86" i="27" s="1"/>
  <c r="J86" i="27"/>
  <c r="K86" i="27"/>
  <c r="L86" i="27"/>
  <c r="M86" i="27"/>
  <c r="H87" i="27"/>
  <c r="I87" i="27"/>
  <c r="D87" i="27" s="1"/>
  <c r="J87" i="27"/>
  <c r="K87" i="27"/>
  <c r="L87" i="27"/>
  <c r="M87" i="27"/>
  <c r="H88" i="27"/>
  <c r="I88" i="27"/>
  <c r="D88" i="27" s="1"/>
  <c r="J88" i="27"/>
  <c r="K88" i="27"/>
  <c r="L88" i="27"/>
  <c r="M88" i="27"/>
  <c r="H89" i="27"/>
  <c r="I89" i="27"/>
  <c r="D89" i="27" s="1"/>
  <c r="J89" i="27"/>
  <c r="K89" i="27"/>
  <c r="L89" i="27"/>
  <c r="M89" i="27"/>
  <c r="H90" i="27"/>
  <c r="I90" i="27"/>
  <c r="D90" i="27" s="1"/>
  <c r="J90" i="27"/>
  <c r="K90" i="27"/>
  <c r="L90" i="27"/>
  <c r="M90" i="27"/>
  <c r="H91" i="27"/>
  <c r="I91" i="27"/>
  <c r="D91" i="27" s="1"/>
  <c r="J91" i="27"/>
  <c r="K91" i="27"/>
  <c r="L91" i="27"/>
  <c r="M91" i="27"/>
  <c r="H92" i="27"/>
  <c r="I92" i="27"/>
  <c r="D92" i="27" s="1"/>
  <c r="J92" i="27"/>
  <c r="K92" i="27"/>
  <c r="L92" i="27"/>
  <c r="M92" i="27"/>
  <c r="H93" i="27"/>
  <c r="I93" i="27"/>
  <c r="D93" i="27" s="1"/>
  <c r="J93" i="27"/>
  <c r="K93" i="27"/>
  <c r="L93" i="27"/>
  <c r="M93" i="27"/>
  <c r="C85" i="27"/>
  <c r="E85" i="27" s="1"/>
  <c r="C86" i="27"/>
  <c r="E86" i="27" s="1"/>
  <c r="C87" i="27"/>
  <c r="E87" i="27" s="1"/>
  <c r="C88" i="27"/>
  <c r="E88" i="27" s="1"/>
  <c r="C89" i="27"/>
  <c r="E89" i="27" s="1"/>
  <c r="C90" i="27"/>
  <c r="E90" i="27" s="1"/>
  <c r="C91" i="27"/>
  <c r="E91" i="27" s="1"/>
  <c r="C92" i="27"/>
  <c r="E92" i="27" s="1"/>
  <c r="C93" i="27"/>
  <c r="E93" i="27" s="1"/>
  <c r="B69" i="27"/>
  <c r="B70" i="27"/>
  <c r="B71" i="27"/>
  <c r="B72" i="27"/>
  <c r="B73" i="27"/>
  <c r="B74" i="27"/>
  <c r="B75" i="27"/>
  <c r="B76" i="27"/>
  <c r="B77" i="27"/>
  <c r="J69" i="27"/>
  <c r="K69" i="27"/>
  <c r="L69" i="27"/>
  <c r="M69" i="27"/>
  <c r="N69" i="27"/>
  <c r="O69" i="27"/>
  <c r="P69" i="27"/>
  <c r="J70" i="27"/>
  <c r="K70" i="27"/>
  <c r="L70" i="27"/>
  <c r="M70" i="27"/>
  <c r="N70" i="27"/>
  <c r="O70" i="27"/>
  <c r="P70" i="27"/>
  <c r="J71" i="27"/>
  <c r="K71" i="27"/>
  <c r="L71" i="27"/>
  <c r="M71" i="27"/>
  <c r="N71" i="27"/>
  <c r="O71" i="27"/>
  <c r="P71" i="27"/>
  <c r="J72" i="27"/>
  <c r="K72" i="27"/>
  <c r="L72" i="27"/>
  <c r="M72" i="27"/>
  <c r="N72" i="27"/>
  <c r="O72" i="27"/>
  <c r="P72" i="27"/>
  <c r="J73" i="27"/>
  <c r="K73" i="27"/>
  <c r="L73" i="27"/>
  <c r="M73" i="27"/>
  <c r="N73" i="27"/>
  <c r="O73" i="27"/>
  <c r="P73" i="27"/>
  <c r="J74" i="27"/>
  <c r="K74" i="27"/>
  <c r="L74" i="27"/>
  <c r="M74" i="27"/>
  <c r="N74" i="27"/>
  <c r="O74" i="27"/>
  <c r="P74" i="27"/>
  <c r="J75" i="27"/>
  <c r="K75" i="27"/>
  <c r="L75" i="27"/>
  <c r="M75" i="27"/>
  <c r="N75" i="27"/>
  <c r="O75" i="27"/>
  <c r="P75" i="27"/>
  <c r="J76" i="27"/>
  <c r="K76" i="27"/>
  <c r="L76" i="27"/>
  <c r="M76" i="27"/>
  <c r="N76" i="27"/>
  <c r="O76" i="27"/>
  <c r="P76" i="27"/>
  <c r="J77" i="27"/>
  <c r="K77" i="27"/>
  <c r="L77" i="27"/>
  <c r="M77" i="27"/>
  <c r="N77" i="27"/>
  <c r="O77" i="27"/>
  <c r="P77" i="27"/>
  <c r="C69" i="27"/>
  <c r="U69" i="27" s="1"/>
  <c r="D69" i="27"/>
  <c r="V69" i="27" s="1"/>
  <c r="E69" i="27"/>
  <c r="F69" i="27"/>
  <c r="G69" i="27"/>
  <c r="H69" i="27"/>
  <c r="C70" i="27"/>
  <c r="AG70" i="27" s="1"/>
  <c r="D70" i="27"/>
  <c r="W70" i="27" s="1"/>
  <c r="E70" i="27"/>
  <c r="F70" i="27"/>
  <c r="G70" i="27"/>
  <c r="H70" i="27"/>
  <c r="C71" i="27"/>
  <c r="U71" i="27" s="1"/>
  <c r="D71" i="27"/>
  <c r="V71" i="27" s="1"/>
  <c r="E71" i="27"/>
  <c r="F71" i="27"/>
  <c r="G71" i="27"/>
  <c r="H71" i="27"/>
  <c r="C72" i="27"/>
  <c r="AG72" i="27" s="1"/>
  <c r="D72" i="27"/>
  <c r="V72" i="27" s="1"/>
  <c r="E72" i="27"/>
  <c r="F72" i="27"/>
  <c r="G72" i="27"/>
  <c r="H72" i="27"/>
  <c r="C73" i="27"/>
  <c r="AD73" i="27" s="1"/>
  <c r="D73" i="27"/>
  <c r="V73" i="27" s="1"/>
  <c r="E73" i="27"/>
  <c r="F73" i="27"/>
  <c r="G73" i="27"/>
  <c r="H73" i="27"/>
  <c r="C74" i="27"/>
  <c r="U74" i="27" s="1"/>
  <c r="D74" i="27"/>
  <c r="V74" i="27" s="1"/>
  <c r="E74" i="27"/>
  <c r="F74" i="27"/>
  <c r="G74" i="27"/>
  <c r="H74" i="27"/>
  <c r="C75" i="27"/>
  <c r="AD75" i="27" s="1"/>
  <c r="D75" i="27"/>
  <c r="V75" i="27" s="1"/>
  <c r="E75" i="27"/>
  <c r="F75" i="27"/>
  <c r="G75" i="27"/>
  <c r="H75" i="27"/>
  <c r="C76" i="27"/>
  <c r="AG76" i="27" s="1"/>
  <c r="D76" i="27"/>
  <c r="W76" i="27" s="1"/>
  <c r="E76" i="27"/>
  <c r="F76" i="27"/>
  <c r="G76" i="27"/>
  <c r="H76" i="27"/>
  <c r="C77" i="27"/>
  <c r="U77" i="27" s="1"/>
  <c r="D77" i="27"/>
  <c r="V77" i="27" s="1"/>
  <c r="E77" i="27"/>
  <c r="F77" i="27"/>
  <c r="G77" i="27"/>
  <c r="H77" i="27"/>
  <c r="P68" i="27"/>
  <c r="T90" i="27" l="1"/>
  <c r="F90" i="27"/>
  <c r="Q90" i="27"/>
  <c r="P90" i="27"/>
  <c r="T86" i="27"/>
  <c r="Q86" i="27"/>
  <c r="F86" i="27"/>
  <c r="P86" i="27" s="1"/>
  <c r="Q91" i="27"/>
  <c r="T91" i="27"/>
  <c r="F91" i="27"/>
  <c r="P91" i="27" s="1"/>
  <c r="Q87" i="27"/>
  <c r="F87" i="27"/>
  <c r="P87" i="27" s="1"/>
  <c r="T87" i="27"/>
  <c r="F92" i="27"/>
  <c r="P92" i="27" s="1"/>
  <c r="X92" i="27" s="1"/>
  <c r="Q92" i="27"/>
  <c r="T92" i="27"/>
  <c r="Q88" i="27"/>
  <c r="F88" i="27"/>
  <c r="P88" i="27" s="1"/>
  <c r="X88" i="27" s="1"/>
  <c r="T88" i="27"/>
  <c r="F93" i="27"/>
  <c r="P93" i="27" s="1"/>
  <c r="X93" i="27" s="1"/>
  <c r="Q93" i="27"/>
  <c r="T93" i="27"/>
  <c r="F89" i="27"/>
  <c r="P89" i="27" s="1"/>
  <c r="X89" i="27" s="1"/>
  <c r="T89" i="27"/>
  <c r="Q89" i="27"/>
  <c r="F85" i="27"/>
  <c r="P85" i="27" s="1"/>
  <c r="X85" i="27" s="1"/>
  <c r="T85" i="27"/>
  <c r="Q85" i="27"/>
  <c r="S75" i="27"/>
  <c r="R74" i="27"/>
  <c r="R73" i="27"/>
  <c r="R76" i="27"/>
  <c r="R72" i="27"/>
  <c r="S71" i="27"/>
  <c r="AJ70" i="27"/>
  <c r="R77" i="27"/>
  <c r="R69" i="27"/>
  <c r="V70" i="27"/>
  <c r="AJ69" i="27"/>
  <c r="R75" i="27"/>
  <c r="AG77" i="27"/>
  <c r="R71" i="27"/>
  <c r="R70" i="27"/>
  <c r="V76" i="27"/>
  <c r="AD70" i="27"/>
  <c r="W75" i="27"/>
  <c r="AG69" i="27"/>
  <c r="W73" i="27"/>
  <c r="AJ77" i="27"/>
  <c r="U73" i="27"/>
  <c r="AJ75" i="27"/>
  <c r="U76" i="27"/>
  <c r="AD77" i="27"/>
  <c r="AG73" i="27"/>
  <c r="AD72" i="27"/>
  <c r="AJ76" i="27"/>
  <c r="S74" i="27"/>
  <c r="S70" i="27"/>
  <c r="W72" i="27"/>
  <c r="U70" i="27"/>
  <c r="AD76" i="27"/>
  <c r="AD69" i="27"/>
  <c r="AJ74" i="27"/>
  <c r="S77" i="27"/>
  <c r="S73" i="27"/>
  <c r="S69" i="27"/>
  <c r="W77" i="27"/>
  <c r="U75" i="27"/>
  <c r="AJ73" i="27"/>
  <c r="W74" i="27"/>
  <c r="U72" i="27"/>
  <c r="AG74" i="27"/>
  <c r="AG71" i="27"/>
  <c r="AJ72" i="27"/>
  <c r="S76" i="27"/>
  <c r="S72" i="27"/>
  <c r="W71" i="27"/>
  <c r="AG75" i="27"/>
  <c r="AD74" i="27"/>
  <c r="AD71" i="27"/>
  <c r="AJ71" i="27"/>
  <c r="W69" i="27"/>
  <c r="AM76" i="27" l="1"/>
  <c r="AN76" i="27"/>
  <c r="AN74" i="27"/>
  <c r="AM74" i="27"/>
  <c r="AM71" i="27"/>
  <c r="AN71" i="27"/>
  <c r="AM73" i="27"/>
  <c r="AN73" i="27"/>
  <c r="AB70" i="27"/>
  <c r="AM70" i="27"/>
  <c r="AN70" i="27"/>
  <c r="AN75" i="27"/>
  <c r="AM75" i="27"/>
  <c r="AN72" i="27"/>
  <c r="AM72" i="27"/>
  <c r="AM77" i="27"/>
  <c r="AN77" i="27"/>
  <c r="AA86" i="27"/>
  <c r="B86" i="27" s="1"/>
  <c r="X86" i="27"/>
  <c r="S87" i="27"/>
  <c r="U87" i="27" s="1"/>
  <c r="Y87" i="27" s="1"/>
  <c r="X87" i="27"/>
  <c r="AA90" i="27"/>
  <c r="B90" i="27" s="1"/>
  <c r="X90" i="27"/>
  <c r="AA91" i="27"/>
  <c r="B91" i="27" s="1"/>
  <c r="X91" i="27"/>
  <c r="AA92" i="27"/>
  <c r="B92" i="27" s="1"/>
  <c r="S92" i="27"/>
  <c r="U92" i="27" s="1"/>
  <c r="Y92" i="27" s="1"/>
  <c r="R89" i="27"/>
  <c r="O89" i="27" s="1"/>
  <c r="W89" i="27" s="1"/>
  <c r="R90" i="27"/>
  <c r="O90" i="27" s="1"/>
  <c r="W90" i="27" s="1"/>
  <c r="S86" i="27"/>
  <c r="U86" i="27" s="1"/>
  <c r="Y86" i="27" s="1"/>
  <c r="S85" i="27"/>
  <c r="U85" i="27" s="1"/>
  <c r="Y85" i="27" s="1"/>
  <c r="AA85" i="27"/>
  <c r="B85" i="27" s="1"/>
  <c r="R85" i="27"/>
  <c r="O85" i="27" s="1"/>
  <c r="W85" i="27" s="1"/>
  <c r="AA93" i="27"/>
  <c r="B93" i="27" s="1"/>
  <c r="R93" i="27"/>
  <c r="O93" i="27" s="1"/>
  <c r="W93" i="27" s="1"/>
  <c r="S93" i="27"/>
  <c r="U93" i="27" s="1"/>
  <c r="Y93" i="27" s="1"/>
  <c r="AA88" i="27"/>
  <c r="B88" i="27" s="1"/>
  <c r="R88" i="27"/>
  <c r="O88" i="27" s="1"/>
  <c r="W88" i="27" s="1"/>
  <c r="S88" i="27"/>
  <c r="U88" i="27" s="1"/>
  <c r="Y88" i="27" s="1"/>
  <c r="AA89" i="27"/>
  <c r="B89" i="27" s="1"/>
  <c r="R92" i="27"/>
  <c r="O92" i="27" s="1"/>
  <c r="W92" i="27" s="1"/>
  <c r="AA87" i="27"/>
  <c r="B87" i="27" s="1"/>
  <c r="R86" i="27"/>
  <c r="O86" i="27" s="1"/>
  <c r="W86" i="27" s="1"/>
  <c r="S90" i="27"/>
  <c r="U90" i="27" s="1"/>
  <c r="Y90" i="27" s="1"/>
  <c r="AA70" i="27"/>
  <c r="R91" i="27"/>
  <c r="O91" i="27" s="1"/>
  <c r="W91" i="27" s="1"/>
  <c r="R87" i="27"/>
  <c r="O87" i="27" s="1"/>
  <c r="W87" i="27" s="1"/>
  <c r="S91" i="27"/>
  <c r="U91" i="27" s="1"/>
  <c r="Y91" i="27" s="1"/>
  <c r="S89" i="27"/>
  <c r="U89" i="27" s="1"/>
  <c r="Y89" i="27" s="1"/>
  <c r="Z70" i="27"/>
  <c r="Z69" i="27"/>
  <c r="AB73" i="27"/>
  <c r="Z71" i="27"/>
  <c r="AB76" i="27"/>
  <c r="Z75" i="27"/>
  <c r="AB69" i="27"/>
  <c r="AA69" i="27"/>
  <c r="Z77" i="27"/>
  <c r="AB71" i="27"/>
  <c r="AA77" i="27"/>
  <c r="AB77" i="27"/>
  <c r="Z76" i="27"/>
  <c r="AB75" i="27"/>
  <c r="AB74" i="27"/>
  <c r="AA75" i="27"/>
  <c r="AA74" i="27"/>
  <c r="Z74" i="27"/>
  <c r="AA71" i="27"/>
  <c r="AB72" i="27"/>
  <c r="Z72" i="27"/>
  <c r="AA72" i="27"/>
  <c r="AA73" i="27"/>
  <c r="Z73" i="27"/>
  <c r="AA76" i="27"/>
  <c r="AC70" i="27" l="1"/>
  <c r="AF70" i="27" s="1"/>
  <c r="AH70" i="27" s="1"/>
  <c r="AL70" i="27" s="1"/>
  <c r="AE70" i="27"/>
  <c r="AE76" i="27"/>
  <c r="AC72" i="27"/>
  <c r="AF72" i="27" s="1"/>
  <c r="AH72" i="27" s="1"/>
  <c r="AL72" i="27" s="1"/>
  <c r="AE73" i="27"/>
  <c r="AC75" i="27"/>
  <c r="AF75" i="27" s="1"/>
  <c r="AH75" i="27" s="1"/>
  <c r="AL75" i="27" s="1"/>
  <c r="AE74" i="27"/>
  <c r="AE71" i="27"/>
  <c r="AE77" i="27"/>
  <c r="AE75" i="27"/>
  <c r="AC71" i="27"/>
  <c r="AF71" i="27" s="1"/>
  <c r="AH71" i="27" s="1"/>
  <c r="AL71" i="27" s="1"/>
  <c r="AC74" i="27"/>
  <c r="AF74" i="27" s="1"/>
  <c r="AH74" i="27" s="1"/>
  <c r="AL74" i="27" s="1"/>
  <c r="AC77" i="27"/>
  <c r="AF77" i="27" s="1"/>
  <c r="AH77" i="27" s="1"/>
  <c r="AL77" i="27" s="1"/>
  <c r="AC76" i="27"/>
  <c r="AF76" i="27" s="1"/>
  <c r="AH76" i="27" s="1"/>
  <c r="AL76" i="27" s="1"/>
  <c r="AC73" i="27"/>
  <c r="AF73" i="27" s="1"/>
  <c r="AH73" i="27" s="1"/>
  <c r="AL73" i="27" s="1"/>
  <c r="AE72" i="27"/>
  <c r="AE69" i="27"/>
  <c r="AC69" i="27"/>
  <c r="AF69" i="27" s="1"/>
  <c r="AH69" i="27" s="1"/>
  <c r="AL69" i="27" s="1"/>
  <c r="U12" i="23"/>
  <c r="C63" i="9"/>
  <c r="C64" i="9"/>
  <c r="C62" i="9"/>
  <c r="H62" i="9" s="1"/>
  <c r="AM69" i="27" l="1"/>
  <c r="W20" i="23" s="1"/>
  <c r="E261" i="26" l="1"/>
  <c r="D261" i="26"/>
  <c r="C50" i="15" l="1"/>
  <c r="C59" i="18"/>
  <c r="C57" i="17"/>
  <c r="C79" i="16"/>
  <c r="D18" i="26" l="1"/>
  <c r="C18" i="26"/>
  <c r="M84" i="27"/>
  <c r="L84" i="27"/>
  <c r="I84" i="27"/>
  <c r="J84" i="27"/>
  <c r="K84" i="27"/>
  <c r="H84" i="27"/>
  <c r="C84" i="27"/>
  <c r="E84" i="27" s="1"/>
  <c r="K68" i="27"/>
  <c r="L68" i="27"/>
  <c r="M68" i="27"/>
  <c r="N68" i="27"/>
  <c r="O68" i="27"/>
  <c r="J68" i="27"/>
  <c r="G68" i="27"/>
  <c r="H68" i="27"/>
  <c r="F68" i="27"/>
  <c r="E68" i="27"/>
  <c r="D68" i="27"/>
  <c r="W68" i="27" s="1"/>
  <c r="C68" i="27"/>
  <c r="AG68" i="27" s="1"/>
  <c r="B68" i="27"/>
  <c r="Q84" i="27" l="1"/>
  <c r="T84" i="27"/>
  <c r="F84" i="27"/>
  <c r="S68" i="27"/>
  <c r="R68" i="27"/>
  <c r="AJ68" i="27"/>
  <c r="D84" i="27"/>
  <c r="U68" i="27"/>
  <c r="AD68" i="27"/>
  <c r="V68" i="27"/>
  <c r="P84" i="27" l="1"/>
  <c r="AB68" i="27"/>
  <c r="Z68" i="27"/>
  <c r="AA68" i="27"/>
  <c r="AA84" i="27" l="1"/>
  <c r="B84" i="27" s="1"/>
  <c r="X84" i="27"/>
  <c r="S84" i="27"/>
  <c r="U84" i="27" s="1"/>
  <c r="Y84" i="27" s="1"/>
  <c r="R84" i="27"/>
  <c r="O84" i="27" s="1"/>
  <c r="W84" i="27" s="1"/>
  <c r="C67" i="9"/>
  <c r="AC68" i="27"/>
  <c r="AF68" i="27" s="1"/>
  <c r="AH68" i="27" s="1"/>
  <c r="AL68" i="27" s="1"/>
  <c r="AE68" i="27"/>
  <c r="I67" i="9" l="1"/>
  <c r="H67" i="9"/>
  <c r="J67" i="9"/>
  <c r="F67" i="9" s="1"/>
  <c r="M38" i="27"/>
  <c r="M39" i="27"/>
  <c r="M40" i="27"/>
  <c r="M41" i="27"/>
  <c r="M42" i="27"/>
  <c r="M43" i="27"/>
  <c r="M44" i="27"/>
  <c r="M45" i="27"/>
  <c r="M46" i="27"/>
  <c r="M47" i="27"/>
  <c r="M48" i="27"/>
  <c r="M49" i="27"/>
  <c r="M50" i="27"/>
  <c r="M51" i="27"/>
  <c r="M52" i="27"/>
  <c r="M53" i="27"/>
  <c r="M54" i="27"/>
  <c r="M55" i="27"/>
  <c r="M56" i="27"/>
  <c r="M57" i="27"/>
  <c r="M58" i="27"/>
  <c r="M59" i="27"/>
  <c r="M60" i="27"/>
  <c r="M61" i="27"/>
  <c r="K12" i="26"/>
  <c r="AM68" i="27" s="1"/>
  <c r="W19" i="23" s="1"/>
  <c r="G211" i="26"/>
  <c r="G210" i="26"/>
  <c r="G209" i="26"/>
  <c r="I217" i="26"/>
  <c r="H217" i="26"/>
  <c r="I216" i="26"/>
  <c r="H216" i="26"/>
  <c r="K215" i="26"/>
  <c r="J215" i="26"/>
  <c r="I215" i="26"/>
  <c r="H215" i="26"/>
  <c r="E262" i="26"/>
  <c r="D216" i="26" s="1"/>
  <c r="E217" i="26"/>
  <c r="C261" i="26"/>
  <c r="C221" i="26" s="1"/>
  <c r="AC89" i="27" l="1"/>
  <c r="AD89" i="27" s="1"/>
  <c r="T40" i="23" s="1"/>
  <c r="AC85" i="27"/>
  <c r="AD85" i="27" s="1"/>
  <c r="T36" i="23" s="1"/>
  <c r="AC87" i="27"/>
  <c r="AD87" i="27" s="1"/>
  <c r="T38" i="23" s="1"/>
  <c r="AC88" i="27"/>
  <c r="AD88" i="27" s="1"/>
  <c r="T39" i="23" s="1"/>
  <c r="AC91" i="27"/>
  <c r="AD91" i="27" s="1"/>
  <c r="T42" i="23" s="1"/>
  <c r="AC93" i="27"/>
  <c r="AD93" i="27" s="1"/>
  <c r="T44" i="23" s="1"/>
  <c r="AC90" i="27"/>
  <c r="AD90" i="27" s="1"/>
  <c r="T41" i="23" s="1"/>
  <c r="AC86" i="27"/>
  <c r="AD86" i="27" s="1"/>
  <c r="T37" i="23" s="1"/>
  <c r="AC92" i="27"/>
  <c r="AD92" i="27" s="1"/>
  <c r="T43" i="23" s="1"/>
  <c r="F272" i="26"/>
  <c r="F270" i="26"/>
  <c r="F269" i="26"/>
  <c r="F271" i="26"/>
  <c r="AC84" i="27"/>
  <c r="AD84" i="27" s="1"/>
  <c r="W99" i="27"/>
  <c r="I51" i="23" s="1"/>
  <c r="N61" i="27"/>
  <c r="X53" i="27"/>
  <c r="X45" i="27"/>
  <c r="P51" i="27"/>
  <c r="P43" i="27"/>
  <c r="X57" i="27"/>
  <c r="AA57" i="27" s="1"/>
  <c r="X49" i="27"/>
  <c r="Z49" i="27" s="1"/>
  <c r="X41" i="27"/>
  <c r="AA41" i="27" s="1"/>
  <c r="C60" i="27"/>
  <c r="C56" i="27"/>
  <c r="C52" i="27"/>
  <c r="C48" i="27"/>
  <c r="C44" i="27"/>
  <c r="C40" i="27"/>
  <c r="R60" i="27"/>
  <c r="O59" i="27"/>
  <c r="Q57" i="27"/>
  <c r="N56" i="27"/>
  <c r="P54" i="27"/>
  <c r="R52" i="27"/>
  <c r="O51" i="27"/>
  <c r="Q49" i="27"/>
  <c r="N48" i="27"/>
  <c r="P46" i="27"/>
  <c r="R44" i="27"/>
  <c r="O43" i="27"/>
  <c r="Q41" i="27"/>
  <c r="N40" i="27"/>
  <c r="P38" i="27"/>
  <c r="W57" i="27"/>
  <c r="AB57" i="27" s="1"/>
  <c r="W53" i="27"/>
  <c r="AB53" i="27" s="1"/>
  <c r="W49" i="27"/>
  <c r="AB49" i="27" s="1"/>
  <c r="W45" i="27"/>
  <c r="AB45" i="27" s="1"/>
  <c r="W41" i="27"/>
  <c r="AB41" i="27" s="1"/>
  <c r="Y59" i="27"/>
  <c r="Y51" i="27"/>
  <c r="Y43" i="27"/>
  <c r="D59" i="27"/>
  <c r="D55" i="27"/>
  <c r="D51" i="27"/>
  <c r="D47" i="27"/>
  <c r="D43" i="27"/>
  <c r="D39" i="27"/>
  <c r="Q60" i="27"/>
  <c r="N59" i="27"/>
  <c r="P57" i="27"/>
  <c r="R55" i="27"/>
  <c r="O54" i="27"/>
  <c r="Q52" i="27"/>
  <c r="N51" i="27"/>
  <c r="P49" i="27"/>
  <c r="R47" i="27"/>
  <c r="O46" i="27"/>
  <c r="Q44" i="27"/>
  <c r="N43" i="27"/>
  <c r="P41" i="27"/>
  <c r="R39" i="27"/>
  <c r="O38" i="27"/>
  <c r="X60" i="27"/>
  <c r="AA60" i="27" s="1"/>
  <c r="X56" i="27"/>
  <c r="X52" i="27"/>
  <c r="Z52" i="27" s="1"/>
  <c r="X48" i="27"/>
  <c r="Z48" i="27" s="1"/>
  <c r="X44" i="27"/>
  <c r="AA44" i="27" s="1"/>
  <c r="X40" i="27"/>
  <c r="AA40" i="27" s="1"/>
  <c r="Y58" i="27"/>
  <c r="Y50" i="27"/>
  <c r="Y42" i="27"/>
  <c r="C59" i="27"/>
  <c r="C55" i="27"/>
  <c r="C51" i="27"/>
  <c r="C47" i="27"/>
  <c r="C43" i="27"/>
  <c r="C39" i="27"/>
  <c r="P60" i="27"/>
  <c r="R58" i="27"/>
  <c r="O57" i="27"/>
  <c r="Q55" i="27"/>
  <c r="N54" i="27"/>
  <c r="P52" i="27"/>
  <c r="R50" i="27"/>
  <c r="O49" i="27"/>
  <c r="Q47" i="27"/>
  <c r="N46" i="27"/>
  <c r="P44" i="27"/>
  <c r="R42" i="27"/>
  <c r="O41" i="27"/>
  <c r="Q39" i="27"/>
  <c r="N38" i="27"/>
  <c r="W60" i="27"/>
  <c r="AB60" i="27" s="1"/>
  <c r="W56" i="27"/>
  <c r="AB56" i="27" s="1"/>
  <c r="W52" i="27"/>
  <c r="AB52" i="27" s="1"/>
  <c r="W48" i="27"/>
  <c r="AB48" i="27" s="1"/>
  <c r="W44" i="27"/>
  <c r="AB44" i="27" s="1"/>
  <c r="W40" i="27"/>
  <c r="AB40" i="27" s="1"/>
  <c r="Y57" i="27"/>
  <c r="Y49" i="27"/>
  <c r="Y41" i="27"/>
  <c r="D58" i="27"/>
  <c r="D54" i="27"/>
  <c r="D50" i="27"/>
  <c r="D46" i="27"/>
  <c r="D42" i="27"/>
  <c r="D38" i="27"/>
  <c r="O60" i="27"/>
  <c r="Q58" i="27"/>
  <c r="N57" i="27"/>
  <c r="P55" i="27"/>
  <c r="R53" i="27"/>
  <c r="O52" i="27"/>
  <c r="Q50" i="27"/>
  <c r="N49" i="27"/>
  <c r="P47" i="27"/>
  <c r="R45" i="27"/>
  <c r="O44" i="27"/>
  <c r="Q42" i="27"/>
  <c r="N41" i="27"/>
  <c r="P39" i="27"/>
  <c r="X59" i="27"/>
  <c r="X55" i="27"/>
  <c r="X51" i="27"/>
  <c r="AA51" i="27" s="1"/>
  <c r="X47" i="27"/>
  <c r="AA47" i="27" s="1"/>
  <c r="X43" i="27"/>
  <c r="AA43" i="27" s="1"/>
  <c r="X39" i="27"/>
  <c r="AA39" i="27" s="1"/>
  <c r="Y56" i="27"/>
  <c r="Y48" i="27"/>
  <c r="Y40" i="27"/>
  <c r="C58" i="27"/>
  <c r="C54" i="27"/>
  <c r="C50" i="27"/>
  <c r="C46" i="27"/>
  <c r="C42" i="27"/>
  <c r="C38" i="27"/>
  <c r="N60" i="27"/>
  <c r="P58" i="27"/>
  <c r="R56" i="27"/>
  <c r="O55" i="27"/>
  <c r="Q53" i="27"/>
  <c r="N52" i="27"/>
  <c r="P50" i="27"/>
  <c r="R48" i="27"/>
  <c r="O47" i="27"/>
  <c r="Q45" i="27"/>
  <c r="N44" i="27"/>
  <c r="P42" i="27"/>
  <c r="R40" i="27"/>
  <c r="O39" i="27"/>
  <c r="W59" i="27"/>
  <c r="AB59" i="27" s="1"/>
  <c r="W55" i="27"/>
  <c r="AB55" i="27" s="1"/>
  <c r="W51" i="27"/>
  <c r="AB51" i="27" s="1"/>
  <c r="W47" i="27"/>
  <c r="AB47" i="27" s="1"/>
  <c r="W43" i="27"/>
  <c r="AB43" i="27" s="1"/>
  <c r="W39" i="27"/>
  <c r="AB39" i="27" s="1"/>
  <c r="Y55" i="27"/>
  <c r="Y47" i="27"/>
  <c r="Y39" i="27"/>
  <c r="AA53" i="27"/>
  <c r="AA45" i="27"/>
  <c r="D57" i="27"/>
  <c r="D53" i="27"/>
  <c r="D49" i="27"/>
  <c r="D45" i="27"/>
  <c r="D41" i="27"/>
  <c r="R59" i="27"/>
  <c r="O58" i="27"/>
  <c r="Q56" i="27"/>
  <c r="N55" i="27"/>
  <c r="P53" i="27"/>
  <c r="R51" i="27"/>
  <c r="O50" i="27"/>
  <c r="Q48" i="27"/>
  <c r="N47" i="27"/>
  <c r="P45" i="27"/>
  <c r="R43" i="27"/>
  <c r="O42" i="27"/>
  <c r="Q40" i="27"/>
  <c r="N39" i="27"/>
  <c r="X58" i="27"/>
  <c r="Z58" i="27" s="1"/>
  <c r="X54" i="27"/>
  <c r="X50" i="27"/>
  <c r="X46" i="27"/>
  <c r="X42" i="27"/>
  <c r="X38" i="27"/>
  <c r="Y54" i="27"/>
  <c r="Y46" i="27"/>
  <c r="Y38" i="27"/>
  <c r="Z53" i="27"/>
  <c r="Z45" i="27"/>
  <c r="C61" i="27"/>
  <c r="C57" i="27"/>
  <c r="C53" i="27"/>
  <c r="C49" i="27"/>
  <c r="C45" i="27"/>
  <c r="C41" i="27"/>
  <c r="Q59" i="27"/>
  <c r="N58" i="27"/>
  <c r="P56" i="27"/>
  <c r="R54" i="27"/>
  <c r="O53" i="27"/>
  <c r="Q51" i="27"/>
  <c r="N50" i="27"/>
  <c r="P48" i="27"/>
  <c r="R46" i="27"/>
  <c r="O45" i="27"/>
  <c r="Q43" i="27"/>
  <c r="N42" i="27"/>
  <c r="P40" i="27"/>
  <c r="R38" i="27"/>
  <c r="W58" i="27"/>
  <c r="AB58" i="27" s="1"/>
  <c r="W54" i="27"/>
  <c r="AB54" i="27" s="1"/>
  <c r="W50" i="27"/>
  <c r="AB50" i="27" s="1"/>
  <c r="W46" i="27"/>
  <c r="AB46" i="27" s="1"/>
  <c r="W42" i="27"/>
  <c r="AB42" i="27" s="1"/>
  <c r="W38" i="27"/>
  <c r="AB38" i="27" s="1"/>
  <c r="Y53" i="27"/>
  <c r="Y45" i="27"/>
  <c r="AA56" i="27"/>
  <c r="AA52" i="27"/>
  <c r="D60" i="27"/>
  <c r="D56" i="27"/>
  <c r="E56" i="27" s="1"/>
  <c r="D52" i="27"/>
  <c r="E52" i="27" s="1"/>
  <c r="V52" i="27" s="1"/>
  <c r="D48" i="27"/>
  <c r="D44" i="27"/>
  <c r="D40" i="27"/>
  <c r="Q61" i="27"/>
  <c r="P59" i="27"/>
  <c r="R57" i="27"/>
  <c r="O56" i="27"/>
  <c r="Q54" i="27"/>
  <c r="N53" i="27"/>
  <c r="R49" i="27"/>
  <c r="O48" i="27"/>
  <c r="Q46" i="27"/>
  <c r="N45" i="27"/>
  <c r="R41" i="27"/>
  <c r="O40" i="27"/>
  <c r="Q38" i="27"/>
  <c r="Y60" i="27"/>
  <c r="Y52" i="27"/>
  <c r="Y44" i="27"/>
  <c r="Z56" i="27"/>
  <c r="D217" i="26"/>
  <c r="D218" i="26"/>
  <c r="D220" i="26"/>
  <c r="D219" i="26"/>
  <c r="C220" i="26"/>
  <c r="R61" i="27"/>
  <c r="X61" i="27"/>
  <c r="Z61" i="27" s="1"/>
  <c r="Y61" i="27"/>
  <c r="P61" i="27"/>
  <c r="W61" i="27"/>
  <c r="AB61" i="27" s="1"/>
  <c r="D61" i="27"/>
  <c r="J61" i="27" s="1"/>
  <c r="O61" i="27"/>
  <c r="H211" i="26"/>
  <c r="H210" i="26"/>
  <c r="H209" i="26"/>
  <c r="AA49" i="27" l="1"/>
  <c r="E54" i="27"/>
  <c r="E44" i="27"/>
  <c r="V44" i="27" s="1"/>
  <c r="AA48" i="27"/>
  <c r="E46" i="27"/>
  <c r="V46" i="27" s="1"/>
  <c r="Z57" i="27"/>
  <c r="E57" i="27"/>
  <c r="E55" i="27"/>
  <c r="V55" i="27" s="1"/>
  <c r="E50" i="27"/>
  <c r="V50" i="27" s="1"/>
  <c r="E45" i="27"/>
  <c r="H45" i="27" s="1"/>
  <c r="E49" i="27"/>
  <c r="V49" i="27" s="1"/>
  <c r="E58" i="27"/>
  <c r="H58" i="27" s="1"/>
  <c r="E53" i="27"/>
  <c r="V53" i="27" s="1"/>
  <c r="E47" i="27"/>
  <c r="G47" i="27" s="1"/>
  <c r="X99" i="27"/>
  <c r="K68" i="9"/>
  <c r="T35" i="23"/>
  <c r="K67" i="9"/>
  <c r="Z41" i="27"/>
  <c r="AC41" i="27" s="1"/>
  <c r="AD41" i="27" s="1"/>
  <c r="E40" i="27"/>
  <c r="F40" i="27" s="1"/>
  <c r="Z40" i="27"/>
  <c r="AC40" i="27" s="1"/>
  <c r="AD40" i="27" s="1"/>
  <c r="E41" i="27"/>
  <c r="V41" i="27" s="1"/>
  <c r="E60" i="27"/>
  <c r="F60" i="27" s="1"/>
  <c r="E38" i="27"/>
  <c r="F38" i="27" s="1"/>
  <c r="E59" i="27"/>
  <c r="V59" i="27" s="1"/>
  <c r="E39" i="27"/>
  <c r="H39" i="27" s="1"/>
  <c r="I50" i="27" a="1"/>
  <c r="I50" i="27" s="1"/>
  <c r="F50" i="27"/>
  <c r="G50" i="27"/>
  <c r="I49" i="27" a="1"/>
  <c r="I49" i="27" s="1"/>
  <c r="G49" i="27"/>
  <c r="F49" i="27"/>
  <c r="V56" i="27"/>
  <c r="F56" i="27"/>
  <c r="G56" i="27"/>
  <c r="H56" i="27"/>
  <c r="I56" i="27" a="1"/>
  <c r="I56" i="27" s="1"/>
  <c r="V45" i="27"/>
  <c r="I45" i="27" a="1"/>
  <c r="I45" i="27" s="1"/>
  <c r="G45" i="27"/>
  <c r="F45" i="27"/>
  <c r="G53" i="27"/>
  <c r="F53" i="27"/>
  <c r="I53" i="27" a="1"/>
  <c r="I53" i="27" s="1"/>
  <c r="V54" i="27"/>
  <c r="F54" i="27"/>
  <c r="G54" i="27"/>
  <c r="H54" i="27"/>
  <c r="I54" i="27" a="1"/>
  <c r="I54" i="27" s="1"/>
  <c r="G46" i="27"/>
  <c r="H52" i="27"/>
  <c r="F55" i="27"/>
  <c r="G55" i="27"/>
  <c r="H57" i="27"/>
  <c r="AC49" i="27"/>
  <c r="AD49" i="27" s="1"/>
  <c r="AC45" i="27"/>
  <c r="AD45" i="27" s="1"/>
  <c r="F57" i="27"/>
  <c r="G57" i="27"/>
  <c r="F46" i="27"/>
  <c r="I58" i="27" a="1"/>
  <c r="I58" i="27" s="1"/>
  <c r="AA38" i="27"/>
  <c r="Z39" i="27"/>
  <c r="AC39" i="27" s="1"/>
  <c r="AD39" i="27" s="1"/>
  <c r="E48" i="27"/>
  <c r="I48" i="27" s="1" a="1"/>
  <c r="I48" i="27" s="1"/>
  <c r="G52" i="27"/>
  <c r="Z38" i="27"/>
  <c r="I44" i="27" a="1"/>
  <c r="I44" i="27" s="1"/>
  <c r="AA42" i="27"/>
  <c r="Z43" i="27"/>
  <c r="AC43" i="27" s="1"/>
  <c r="AD43" i="27" s="1"/>
  <c r="AC57" i="27"/>
  <c r="AD57" i="27" s="1"/>
  <c r="AC53" i="27"/>
  <c r="AD53" i="27" s="1"/>
  <c r="H44" i="27"/>
  <c r="Z42" i="27"/>
  <c r="I46" i="27" a="1"/>
  <c r="I46" i="27" s="1"/>
  <c r="AA46" i="27"/>
  <c r="Z47" i="27"/>
  <c r="AC47" i="27" s="1"/>
  <c r="AD47" i="27" s="1"/>
  <c r="E43" i="27"/>
  <c r="F52" i="27"/>
  <c r="H46" i="27"/>
  <c r="Z46" i="27"/>
  <c r="E42" i="27"/>
  <c r="AA50" i="27"/>
  <c r="Z51" i="27"/>
  <c r="AC51" i="27" s="1"/>
  <c r="AD51" i="27" s="1"/>
  <c r="AC48" i="27"/>
  <c r="AD48" i="27" s="1"/>
  <c r="Z60" i="27"/>
  <c r="AC60" i="27" s="1"/>
  <c r="AD60" i="27" s="1"/>
  <c r="F44" i="27"/>
  <c r="G58" i="27"/>
  <c r="Z50" i="27"/>
  <c r="AC50" i="27" s="1"/>
  <c r="AD50" i="27" s="1"/>
  <c r="AA54" i="27"/>
  <c r="Z55" i="27"/>
  <c r="AC52" i="27"/>
  <c r="AD52" i="27" s="1"/>
  <c r="E51" i="27"/>
  <c r="AA55" i="27"/>
  <c r="G44" i="27"/>
  <c r="Z54" i="27"/>
  <c r="I52" i="27" a="1"/>
  <c r="I52" i="27" s="1"/>
  <c r="AA58" i="27"/>
  <c r="AC58" i="27" s="1"/>
  <c r="AD58" i="27" s="1"/>
  <c r="Z59" i="27"/>
  <c r="AC56" i="27"/>
  <c r="AD56" i="27" s="1"/>
  <c r="AA59" i="27"/>
  <c r="Z44" i="27"/>
  <c r="AC44" i="27" s="1"/>
  <c r="AD44" i="27" s="1"/>
  <c r="K61" i="27"/>
  <c r="J60" i="27"/>
  <c r="K60" i="27"/>
  <c r="J57" i="27"/>
  <c r="K57" i="27"/>
  <c r="J54" i="27"/>
  <c r="K54" i="27"/>
  <c r="K51" i="27"/>
  <c r="J51" i="27"/>
  <c r="J58" i="27"/>
  <c r="K58" i="27"/>
  <c r="K55" i="27"/>
  <c r="J55" i="27"/>
  <c r="K59" i="27"/>
  <c r="J59" i="27"/>
  <c r="J40" i="27"/>
  <c r="K40" i="27"/>
  <c r="AA61" i="27"/>
  <c r="AC61" i="27" s="1"/>
  <c r="AD61" i="27" s="1"/>
  <c r="AB43" i="20" s="1"/>
  <c r="J44" i="27"/>
  <c r="K44" i="27"/>
  <c r="J41" i="27"/>
  <c r="K41" i="27"/>
  <c r="J38" i="27"/>
  <c r="K38" i="27"/>
  <c r="J48" i="27"/>
  <c r="K48" i="27"/>
  <c r="J45" i="27"/>
  <c r="K45" i="27"/>
  <c r="J42" i="27"/>
  <c r="K42" i="27"/>
  <c r="K39" i="27"/>
  <c r="J39" i="27"/>
  <c r="J52" i="27"/>
  <c r="K52" i="27"/>
  <c r="J49" i="27"/>
  <c r="K49" i="27"/>
  <c r="J46" i="27"/>
  <c r="K46" i="27"/>
  <c r="K43" i="27"/>
  <c r="J43" i="27"/>
  <c r="J56" i="27"/>
  <c r="K56" i="27"/>
  <c r="J53" i="27"/>
  <c r="K53" i="27"/>
  <c r="J50" i="27"/>
  <c r="K50" i="27"/>
  <c r="K47" i="27"/>
  <c r="J47" i="27"/>
  <c r="J12" i="26"/>
  <c r="M37" i="27"/>
  <c r="Y37" i="27" s="1"/>
  <c r="F211" i="26"/>
  <c r="F210" i="26"/>
  <c r="F209" i="26"/>
  <c r="V57" i="27" l="1"/>
  <c r="I57" i="27" a="1"/>
  <c r="I57" i="27" s="1"/>
  <c r="H55" i="27"/>
  <c r="H50" i="27"/>
  <c r="H53" i="27"/>
  <c r="H49" i="27"/>
  <c r="AC55" i="27"/>
  <c r="AD55" i="27" s="1"/>
  <c r="AE55" i="27" s="1"/>
  <c r="V47" i="27"/>
  <c r="AE47" i="27" s="1"/>
  <c r="V58" i="27"/>
  <c r="AE58" i="27" s="1"/>
  <c r="F58" i="27"/>
  <c r="I47" i="27" a="1"/>
  <c r="I47" i="27" s="1"/>
  <c r="AC54" i="27"/>
  <c r="AD54" i="27" s="1"/>
  <c r="AE54" i="27" s="1"/>
  <c r="H47" i="27"/>
  <c r="AC46" i="27"/>
  <c r="AD46" i="27" s="1"/>
  <c r="AE46" i="27" s="1"/>
  <c r="F47" i="27"/>
  <c r="I55" i="27" a="1"/>
  <c r="I55" i="27" s="1"/>
  <c r="V40" i="27"/>
  <c r="AE40" i="27" s="1"/>
  <c r="BF40" i="27" s="1"/>
  <c r="I40" i="27" a="1"/>
  <c r="I40" i="27" s="1"/>
  <c r="AC42" i="27"/>
  <c r="AD42" i="27" s="1"/>
  <c r="AB24" i="20" s="1"/>
  <c r="H40" i="27"/>
  <c r="G40" i="27"/>
  <c r="H60" i="27"/>
  <c r="G60" i="27"/>
  <c r="I41" i="27" a="1"/>
  <c r="I41" i="27" s="1"/>
  <c r="H41" i="27"/>
  <c r="F41" i="27"/>
  <c r="G41" i="27"/>
  <c r="I60" i="27" a="1"/>
  <c r="I60" i="27" s="1"/>
  <c r="AC38" i="27"/>
  <c r="AD38" i="27" s="1"/>
  <c r="AB20" i="20" s="1"/>
  <c r="V60" i="27"/>
  <c r="AE60" i="27" s="1"/>
  <c r="BF60" i="27" s="1"/>
  <c r="I59" i="27" a="1"/>
  <c r="I59" i="27" s="1"/>
  <c r="V38" i="27"/>
  <c r="G59" i="27"/>
  <c r="V39" i="27"/>
  <c r="AE39" i="27" s="1"/>
  <c r="BF39" i="27" s="1"/>
  <c r="G39" i="27"/>
  <c r="F39" i="27"/>
  <c r="I39" i="27" a="1"/>
  <c r="I39" i="27" s="1"/>
  <c r="I38" i="27" a="1"/>
  <c r="I38" i="27" s="1"/>
  <c r="H38" i="27"/>
  <c r="G38" i="27"/>
  <c r="F59" i="27"/>
  <c r="H59" i="27"/>
  <c r="AC59" i="27"/>
  <c r="AD59" i="27" s="1"/>
  <c r="AE59" i="27" s="1"/>
  <c r="BF59" i="27" s="1"/>
  <c r="AB33" i="20"/>
  <c r="AB37" i="20"/>
  <c r="AB29" i="20"/>
  <c r="AB28" i="20"/>
  <c r="AE44" i="27"/>
  <c r="AB26" i="20"/>
  <c r="AB42" i="20"/>
  <c r="AE41" i="27"/>
  <c r="BF41" i="27" s="1"/>
  <c r="AB23" i="20"/>
  <c r="AE52" i="27"/>
  <c r="AB34" i="20"/>
  <c r="AB22" i="20"/>
  <c r="AE56" i="27"/>
  <c r="AB38" i="20"/>
  <c r="AB25" i="20"/>
  <c r="AE45" i="27"/>
  <c r="AB27" i="20"/>
  <c r="AB21" i="20"/>
  <c r="V51" i="27"/>
  <c r="AE51" i="27" s="1"/>
  <c r="I51" i="27" a="1"/>
  <c r="I51" i="27" s="1"/>
  <c r="G51" i="27"/>
  <c r="F51" i="27"/>
  <c r="H51" i="27"/>
  <c r="AE49" i="27"/>
  <c r="AB31" i="20"/>
  <c r="AE50" i="27"/>
  <c r="AB32" i="20"/>
  <c r="AB30" i="20"/>
  <c r="V48" i="27"/>
  <c r="AE48" i="27" s="1"/>
  <c r="H48" i="27"/>
  <c r="F48" i="27"/>
  <c r="G48" i="27"/>
  <c r="AB40" i="20"/>
  <c r="V43" i="27"/>
  <c r="AE43" i="27" s="1"/>
  <c r="I43" i="27" a="1"/>
  <c r="I43" i="27" s="1"/>
  <c r="G43" i="27"/>
  <c r="F43" i="27"/>
  <c r="H43" i="27"/>
  <c r="AE57" i="27"/>
  <c r="AB39" i="20"/>
  <c r="AE53" i="27"/>
  <c r="AB35" i="20"/>
  <c r="V42" i="27"/>
  <c r="G42" i="27"/>
  <c r="H42" i="27"/>
  <c r="F42" i="27"/>
  <c r="I42" i="27" a="1"/>
  <c r="I42" i="27" s="1"/>
  <c r="E61" i="27"/>
  <c r="C37" i="27"/>
  <c r="O37" i="27"/>
  <c r="R37" i="27"/>
  <c r="W37" i="27"/>
  <c r="D37" i="27"/>
  <c r="N37" i="27"/>
  <c r="P37" i="27"/>
  <c r="Q37" i="27"/>
  <c r="X37" i="27"/>
  <c r="Z37" i="27" s="1"/>
  <c r="AB36" i="20" l="1"/>
  <c r="B56" i="27"/>
  <c r="BF56" i="27"/>
  <c r="B47" i="27"/>
  <c r="BF47" i="27"/>
  <c r="BG47" i="27" s="1"/>
  <c r="BF52" i="27"/>
  <c r="BG52" i="27" s="1"/>
  <c r="B49" i="27"/>
  <c r="BF49" i="27"/>
  <c r="BG49" i="27" s="1"/>
  <c r="B45" i="27"/>
  <c r="BF45" i="27"/>
  <c r="B44" i="27"/>
  <c r="BF44" i="27"/>
  <c r="B51" i="27"/>
  <c r="BF51" i="27"/>
  <c r="BG51" i="27" s="1"/>
  <c r="B55" i="27"/>
  <c r="BF55" i="27"/>
  <c r="BG55" i="27" s="1"/>
  <c r="B57" i="27"/>
  <c r="BF57" i="27"/>
  <c r="B53" i="27"/>
  <c r="BF53" i="27"/>
  <c r="BG53" i="27" s="1"/>
  <c r="B58" i="27"/>
  <c r="BF58" i="27"/>
  <c r="BG58" i="27" s="1"/>
  <c r="B50" i="27"/>
  <c r="BF50" i="27"/>
  <c r="BG50" i="27" s="1"/>
  <c r="B43" i="27"/>
  <c r="BF43" i="27"/>
  <c r="B46" i="27"/>
  <c r="BF46" i="27"/>
  <c r="BG46" i="27" s="1"/>
  <c r="B48" i="27"/>
  <c r="BF48" i="27"/>
  <c r="BG48" i="27" s="1"/>
  <c r="AW54" i="27"/>
  <c r="BF54" i="27"/>
  <c r="BG54" i="27" s="1"/>
  <c r="AE42" i="27"/>
  <c r="AW42" i="27" s="1"/>
  <c r="AE38" i="27"/>
  <c r="AB41" i="20"/>
  <c r="AG54" i="27"/>
  <c r="AK54" i="27" s="1"/>
  <c r="AG58" i="27"/>
  <c r="AI58" i="27" s="1"/>
  <c r="AG50" i="27"/>
  <c r="AO50" i="27" s="1"/>
  <c r="AU50" i="27" s="1"/>
  <c r="BG44" i="27"/>
  <c r="AW55" i="27"/>
  <c r="AW58" i="27"/>
  <c r="AW50" i="27"/>
  <c r="AG44" i="27"/>
  <c r="AP44" i="27" s="1"/>
  <c r="AW48" i="27"/>
  <c r="AG60" i="27"/>
  <c r="AI60" i="27" s="1"/>
  <c r="AG40" i="27"/>
  <c r="AM40" i="27" s="1"/>
  <c r="B54" i="27"/>
  <c r="AW44" i="27"/>
  <c r="AG48" i="27"/>
  <c r="AP48" i="27" s="1"/>
  <c r="B52" i="27"/>
  <c r="AW52" i="27"/>
  <c r="E37" i="27"/>
  <c r="G37" i="27" s="1"/>
  <c r="BG60" i="27"/>
  <c r="AW60" i="27"/>
  <c r="AG52" i="27"/>
  <c r="AP52" i="27" s="1"/>
  <c r="AW40" i="27"/>
  <c r="AW49" i="27"/>
  <c r="AG49" i="27"/>
  <c r="AG45" i="27"/>
  <c r="BG45" i="27"/>
  <c r="AW45" i="27"/>
  <c r="AW46" i="27"/>
  <c r="AG46" i="27"/>
  <c r="AG43" i="27"/>
  <c r="AW43" i="27"/>
  <c r="BG43" i="27"/>
  <c r="AG41" i="27"/>
  <c r="AW41" i="27"/>
  <c r="BG41" i="27"/>
  <c r="AG47" i="27"/>
  <c r="AW47" i="27"/>
  <c r="AW53" i="27"/>
  <c r="AG53" i="27"/>
  <c r="AW56" i="27"/>
  <c r="BG56" i="27"/>
  <c r="AG56" i="27"/>
  <c r="BG59" i="27"/>
  <c r="AG59" i="27"/>
  <c r="AG55" i="27"/>
  <c r="AG57" i="27"/>
  <c r="AW57" i="27"/>
  <c r="BG57" i="27"/>
  <c r="BG39" i="27"/>
  <c r="AG39" i="27"/>
  <c r="AW39" i="27"/>
  <c r="BG40" i="27"/>
  <c r="AG51" i="27"/>
  <c r="AW51" i="27"/>
  <c r="AA37" i="27"/>
  <c r="AC37" i="27" s="1"/>
  <c r="V61" i="27"/>
  <c r="AE61" i="27" s="1"/>
  <c r="BF61" i="27" s="1"/>
  <c r="F61" i="27"/>
  <c r="G61" i="27"/>
  <c r="H61" i="27"/>
  <c r="I61" i="27" a="1"/>
  <c r="I61" i="27" s="1"/>
  <c r="AB37" i="27"/>
  <c r="K37" i="27"/>
  <c r="J37" i="27"/>
  <c r="S54" i="27" l="1"/>
  <c r="T54" i="27"/>
  <c r="S50" i="27"/>
  <c r="T50" i="27"/>
  <c r="T55" i="27"/>
  <c r="S55" i="27"/>
  <c r="T49" i="27"/>
  <c r="S49" i="27"/>
  <c r="T52" i="27"/>
  <c r="S52" i="27"/>
  <c r="T48" i="27"/>
  <c r="S48" i="27"/>
  <c r="S58" i="27"/>
  <c r="T58" i="27"/>
  <c r="S51" i="27"/>
  <c r="T51" i="27"/>
  <c r="S46" i="27"/>
  <c r="T46" i="27"/>
  <c r="S53" i="27"/>
  <c r="T53" i="27"/>
  <c r="T44" i="27"/>
  <c r="S44" i="27"/>
  <c r="S47" i="27"/>
  <c r="T47" i="27"/>
  <c r="T43" i="27"/>
  <c r="S43" i="27"/>
  <c r="T57" i="27"/>
  <c r="S57" i="27"/>
  <c r="T45" i="27"/>
  <c r="S45" i="27"/>
  <c r="T56" i="27"/>
  <c r="S56" i="27"/>
  <c r="BF38" i="27"/>
  <c r="BG38" i="27" s="1"/>
  <c r="BF42" i="27"/>
  <c r="BG42" i="27" s="1"/>
  <c r="AI54" i="27"/>
  <c r="AN58" i="27"/>
  <c r="AG42" i="27"/>
  <c r="AM42" i="27" s="1"/>
  <c r="AR42" i="27" s="1"/>
  <c r="AG38" i="27"/>
  <c r="AM38" i="27" s="1"/>
  <c r="AR38" i="27" s="1"/>
  <c r="AW38" i="27"/>
  <c r="AO58" i="27"/>
  <c r="AU58" i="27" s="1"/>
  <c r="AI44" i="27"/>
  <c r="AO54" i="27"/>
  <c r="AU54" i="27" s="1"/>
  <c r="AJ54" i="27"/>
  <c r="AL54" i="27"/>
  <c r="AQ54" i="27" s="1"/>
  <c r="AH54" i="27"/>
  <c r="AN54" i="27"/>
  <c r="AP54" i="27"/>
  <c r="AM54" i="27"/>
  <c r="AR54" i="27" s="1"/>
  <c r="AM58" i="27"/>
  <c r="AR58" i="27" s="1"/>
  <c r="AI52" i="27"/>
  <c r="AM44" i="27"/>
  <c r="AR44" i="27" s="1"/>
  <c r="AL58" i="27"/>
  <c r="AS58" i="27"/>
  <c r="AQ58" i="27"/>
  <c r="AP58" i="27"/>
  <c r="AN44" i="27"/>
  <c r="AK58" i="27"/>
  <c r="AJ58" i="27"/>
  <c r="AH58" i="27"/>
  <c r="AJ44" i="27"/>
  <c r="AS44" i="27" s="1"/>
  <c r="AI50" i="27"/>
  <c r="AH50" i="27"/>
  <c r="AM50" i="27"/>
  <c r="AR50" i="27" s="1"/>
  <c r="AN40" i="27"/>
  <c r="AO40" i="27"/>
  <c r="AU40" i="27" s="1"/>
  <c r="AP50" i="27"/>
  <c r="AR40" i="27"/>
  <c r="AL50" i="27"/>
  <c r="AK52" i="27"/>
  <c r="AN50" i="27"/>
  <c r="AN60" i="27"/>
  <c r="AJ50" i="27"/>
  <c r="AK50" i="27"/>
  <c r="AN52" i="27"/>
  <c r="AM60" i="27"/>
  <c r="AR60" i="27" s="1"/>
  <c r="AJ52" i="27"/>
  <c r="AK40" i="27"/>
  <c r="AM48" i="27"/>
  <c r="AR48" i="27" s="1"/>
  <c r="AI48" i="27"/>
  <c r="AJ48" i="27"/>
  <c r="AH48" i="27"/>
  <c r="AK48" i="27"/>
  <c r="AO48" i="27"/>
  <c r="AU48" i="27" s="1"/>
  <c r="AL48" i="27"/>
  <c r="AN48" i="27"/>
  <c r="AL52" i="27"/>
  <c r="AM52" i="27"/>
  <c r="AR52" i="27" s="1"/>
  <c r="AO52" i="27"/>
  <c r="AU52" i="27" s="1"/>
  <c r="AH52" i="27"/>
  <c r="AJ40" i="27"/>
  <c r="AP40" i="27"/>
  <c r="AL44" i="27"/>
  <c r="AI40" i="27"/>
  <c r="AH44" i="27"/>
  <c r="AO44" i="27"/>
  <c r="AU44" i="27" s="1"/>
  <c r="AK44" i="27"/>
  <c r="AO60" i="27"/>
  <c r="AU60" i="27" s="1"/>
  <c r="AJ60" i="27"/>
  <c r="AS60" i="27" s="1"/>
  <c r="AK60" i="27"/>
  <c r="AH60" i="27"/>
  <c r="AL60" i="27"/>
  <c r="AP60" i="27"/>
  <c r="AL40" i="27"/>
  <c r="AH40" i="27"/>
  <c r="H37" i="27"/>
  <c r="F37" i="27"/>
  <c r="I37" i="27" a="1"/>
  <c r="I37" i="27" s="1"/>
  <c r="AH56" i="27"/>
  <c r="AI56" i="27"/>
  <c r="AL56" i="27"/>
  <c r="AN56" i="27"/>
  <c r="AP56" i="27"/>
  <c r="AJ56" i="27"/>
  <c r="AK56" i="27"/>
  <c r="AO56" i="27"/>
  <c r="AU56" i="27" s="1"/>
  <c r="AM56" i="27"/>
  <c r="AR56" i="27" s="1"/>
  <c r="AM49" i="27"/>
  <c r="AR49" i="27" s="1"/>
  <c r="AI49" i="27"/>
  <c r="AK49" i="27"/>
  <c r="AP49" i="27"/>
  <c r="AO49" i="27"/>
  <c r="AU49" i="27" s="1"/>
  <c r="AN49" i="27"/>
  <c r="AH49" i="27"/>
  <c r="AL49" i="27"/>
  <c r="AJ49" i="27"/>
  <c r="AL55" i="27"/>
  <c r="AN55" i="27"/>
  <c r="AI55" i="27"/>
  <c r="AM55" i="27"/>
  <c r="AR55" i="27" s="1"/>
  <c r="AO55" i="27"/>
  <c r="AU55" i="27" s="1"/>
  <c r="AP55" i="27"/>
  <c r="AJ55" i="27"/>
  <c r="AK55" i="27"/>
  <c r="AH55" i="27"/>
  <c r="AL47" i="27"/>
  <c r="AM47" i="27"/>
  <c r="AR47" i="27" s="1"/>
  <c r="AH47" i="27"/>
  <c r="AO47" i="27"/>
  <c r="AU47" i="27" s="1"/>
  <c r="AN47" i="27"/>
  <c r="AP47" i="27"/>
  <c r="AK47" i="27"/>
  <c r="AJ47" i="27"/>
  <c r="AI47" i="27"/>
  <c r="AK59" i="27"/>
  <c r="AP59" i="27"/>
  <c r="AJ59" i="27"/>
  <c r="AO59" i="27"/>
  <c r="AU59" i="27" s="1"/>
  <c r="AN59" i="27"/>
  <c r="AI59" i="27"/>
  <c r="AM59" i="27"/>
  <c r="AR59" i="27" s="1"/>
  <c r="AH59" i="27"/>
  <c r="AL59" i="27"/>
  <c r="AJ45" i="27"/>
  <c r="AL45" i="27"/>
  <c r="AK45" i="27"/>
  <c r="AH45" i="27"/>
  <c r="AO45" i="27"/>
  <c r="AU45" i="27" s="1"/>
  <c r="AP45" i="27"/>
  <c r="AI45" i="27"/>
  <c r="AM45" i="27"/>
  <c r="AR45" i="27" s="1"/>
  <c r="AN45" i="27"/>
  <c r="AH57" i="27"/>
  <c r="AO57" i="27"/>
  <c r="AU57" i="27" s="1"/>
  <c r="AM57" i="27"/>
  <c r="AR57" i="27" s="1"/>
  <c r="AL57" i="27"/>
  <c r="AI57" i="27"/>
  <c r="AJ57" i="27"/>
  <c r="AP57" i="27"/>
  <c r="AN57" i="27"/>
  <c r="AK57" i="27"/>
  <c r="AK41" i="27"/>
  <c r="AM41" i="27"/>
  <c r="AR41" i="27" s="1"/>
  <c r="AN41" i="27"/>
  <c r="AH41" i="27"/>
  <c r="AO41" i="27"/>
  <c r="AU41" i="27" s="1"/>
  <c r="AI41" i="27"/>
  <c r="AP41" i="27"/>
  <c r="AJ41" i="27"/>
  <c r="AL41" i="27"/>
  <c r="AI43" i="27"/>
  <c r="AM43" i="27"/>
  <c r="AR43" i="27" s="1"/>
  <c r="AP43" i="27"/>
  <c r="AO43" i="27"/>
  <c r="AU43" i="27" s="1"/>
  <c r="AN43" i="27"/>
  <c r="AJ43" i="27"/>
  <c r="AH43" i="27"/>
  <c r="AK43" i="27"/>
  <c r="AL43" i="27"/>
  <c r="AL51" i="27"/>
  <c r="AM51" i="27"/>
  <c r="AR51" i="27" s="1"/>
  <c r="AK51" i="27"/>
  <c r="AH51" i="27"/>
  <c r="AN51" i="27"/>
  <c r="AJ51" i="27"/>
  <c r="AP51" i="27"/>
  <c r="AI51" i="27"/>
  <c r="AO51" i="27"/>
  <c r="AU51" i="27" s="1"/>
  <c r="AM39" i="27"/>
  <c r="AR39" i="27" s="1"/>
  <c r="AP39" i="27"/>
  <c r="AK39" i="27"/>
  <c r="AO39" i="27"/>
  <c r="AU39" i="27" s="1"/>
  <c r="AH39" i="27"/>
  <c r="AI39" i="27"/>
  <c r="AJ39" i="27"/>
  <c r="AN39" i="27"/>
  <c r="AL39" i="27"/>
  <c r="AO53" i="27"/>
  <c r="AU53" i="27" s="1"/>
  <c r="AK53" i="27"/>
  <c r="AP53" i="27"/>
  <c r="AM53" i="27"/>
  <c r="AR53" i="27" s="1"/>
  <c r="AL53" i="27"/>
  <c r="AJ53" i="27"/>
  <c r="AI53" i="27"/>
  <c r="AH53" i="27"/>
  <c r="AN53" i="27"/>
  <c r="AP46" i="27"/>
  <c r="AH46" i="27"/>
  <c r="AK46" i="27"/>
  <c r="AN46" i="27"/>
  <c r="AJ46" i="27"/>
  <c r="AM46" i="27"/>
  <c r="AR46" i="27" s="1"/>
  <c r="AI46" i="27"/>
  <c r="AL46" i="27"/>
  <c r="AO46" i="27"/>
  <c r="AU46" i="27" s="1"/>
  <c r="BG61" i="27"/>
  <c r="AG61" i="27"/>
  <c r="AW61" i="27"/>
  <c r="AD37" i="27"/>
  <c r="V7" i="27"/>
  <c r="W7" i="27"/>
  <c r="X7" i="27"/>
  <c r="Y7" i="27"/>
  <c r="V8" i="27"/>
  <c r="W8" i="27"/>
  <c r="X8" i="27"/>
  <c r="Y8" i="27"/>
  <c r="V9" i="27"/>
  <c r="W9" i="27"/>
  <c r="X9" i="27"/>
  <c r="Y9" i="27"/>
  <c r="V10" i="27"/>
  <c r="W10" i="27"/>
  <c r="X10" i="27"/>
  <c r="Y10" i="27"/>
  <c r="V11" i="27"/>
  <c r="W11" i="27"/>
  <c r="X11" i="27"/>
  <c r="Y11" i="27"/>
  <c r="V12" i="27"/>
  <c r="W12" i="27"/>
  <c r="X12" i="27"/>
  <c r="Y12" i="27"/>
  <c r="V13" i="27"/>
  <c r="W13" i="27"/>
  <c r="X13" i="27"/>
  <c r="Y13" i="27"/>
  <c r="V14" i="27"/>
  <c r="W14" i="27"/>
  <c r="X14" i="27"/>
  <c r="Y14" i="27"/>
  <c r="V15" i="27"/>
  <c r="W15" i="27"/>
  <c r="X15" i="27"/>
  <c r="Y15" i="27"/>
  <c r="V16" i="27"/>
  <c r="W16" i="27"/>
  <c r="X16" i="27"/>
  <c r="Y16" i="27"/>
  <c r="V17" i="27"/>
  <c r="W17" i="27"/>
  <c r="X17" i="27"/>
  <c r="Y17" i="27"/>
  <c r="V18" i="27"/>
  <c r="W18" i="27"/>
  <c r="X18" i="27"/>
  <c r="Y18" i="27"/>
  <c r="V19" i="27"/>
  <c r="W19" i="27"/>
  <c r="X19" i="27"/>
  <c r="Y19" i="27"/>
  <c r="V20" i="27"/>
  <c r="W20" i="27"/>
  <c r="X20" i="27"/>
  <c r="Y20" i="27"/>
  <c r="V21" i="27"/>
  <c r="W21" i="27"/>
  <c r="X21" i="27"/>
  <c r="Y21" i="27"/>
  <c r="V22" i="27"/>
  <c r="W22" i="27"/>
  <c r="X22" i="27"/>
  <c r="Y22" i="27"/>
  <c r="V23" i="27"/>
  <c r="W23" i="27"/>
  <c r="X23" i="27"/>
  <c r="Y23" i="27"/>
  <c r="V24" i="27"/>
  <c r="W24" i="27"/>
  <c r="X24" i="27"/>
  <c r="Y24" i="27"/>
  <c r="V25" i="27"/>
  <c r="W25" i="27"/>
  <c r="X25" i="27"/>
  <c r="Y25" i="27"/>
  <c r="V26" i="27"/>
  <c r="W26" i="27"/>
  <c r="X26" i="27"/>
  <c r="Y26" i="27"/>
  <c r="V27" i="27"/>
  <c r="W27" i="27"/>
  <c r="X27" i="27"/>
  <c r="Y27" i="27"/>
  <c r="V28" i="27"/>
  <c r="W28" i="27"/>
  <c r="X28" i="27"/>
  <c r="Y28" i="27"/>
  <c r="V29" i="27"/>
  <c r="W29" i="27"/>
  <c r="X29" i="27"/>
  <c r="Y29" i="27"/>
  <c r="V30" i="27"/>
  <c r="W30" i="27"/>
  <c r="X30" i="27"/>
  <c r="Y30" i="27"/>
  <c r="H7" i="27"/>
  <c r="H8" i="27"/>
  <c r="H9" i="27"/>
  <c r="H10" i="27"/>
  <c r="H11" i="27"/>
  <c r="H12" i="27"/>
  <c r="H13" i="27"/>
  <c r="H14" i="27"/>
  <c r="H15" i="27"/>
  <c r="H16" i="27"/>
  <c r="H17" i="27"/>
  <c r="H18" i="27"/>
  <c r="H19" i="27"/>
  <c r="H20" i="27"/>
  <c r="H21" i="27"/>
  <c r="H22" i="27"/>
  <c r="H23" i="27"/>
  <c r="H24" i="27"/>
  <c r="H25" i="27"/>
  <c r="H26" i="27"/>
  <c r="H27" i="27"/>
  <c r="H28" i="27"/>
  <c r="H29" i="27"/>
  <c r="H30" i="27"/>
  <c r="I30" i="27"/>
  <c r="M7" i="27"/>
  <c r="M8" i="27"/>
  <c r="M9" i="27"/>
  <c r="M10" i="27"/>
  <c r="M11" i="27"/>
  <c r="M12" i="27"/>
  <c r="M13" i="27"/>
  <c r="M14" i="27"/>
  <c r="M15" i="27"/>
  <c r="M16" i="27"/>
  <c r="M17" i="27"/>
  <c r="M18" i="27"/>
  <c r="M19" i="27"/>
  <c r="M20" i="27"/>
  <c r="M21" i="27"/>
  <c r="M22" i="27"/>
  <c r="M23" i="27"/>
  <c r="M24" i="27"/>
  <c r="M25" i="27"/>
  <c r="M26" i="27"/>
  <c r="M27" i="27"/>
  <c r="M28" i="27"/>
  <c r="M29" i="27"/>
  <c r="M30" i="27"/>
  <c r="C7" i="27" l="1"/>
  <c r="F7" i="27"/>
  <c r="G7" i="27"/>
  <c r="G8" i="27"/>
  <c r="F8" i="27"/>
  <c r="O24" i="27"/>
  <c r="C22" i="27"/>
  <c r="N9" i="27"/>
  <c r="C15" i="27"/>
  <c r="O28" i="27"/>
  <c r="O20" i="27"/>
  <c r="O12" i="27"/>
  <c r="O14" i="27"/>
  <c r="N16" i="27"/>
  <c r="N30" i="27"/>
  <c r="N10" i="27"/>
  <c r="AS45" i="27"/>
  <c r="AV54" i="27"/>
  <c r="AX54" i="27" s="1"/>
  <c r="AQ51" i="27"/>
  <c r="AQ55" i="27"/>
  <c r="AQ57" i="27"/>
  <c r="AV57" i="27" s="1"/>
  <c r="AX57" i="27" s="1"/>
  <c r="BA57" i="27" s="1"/>
  <c r="AS46" i="27"/>
  <c r="AY46" i="27" s="1"/>
  <c r="AQ47" i="27"/>
  <c r="AV47" i="27" s="1"/>
  <c r="AX47" i="27" s="1"/>
  <c r="BA47" i="27" s="1"/>
  <c r="AQ46" i="27"/>
  <c r="AV46" i="27" s="1"/>
  <c r="AX46" i="27" s="1"/>
  <c r="BA46" i="27" s="1"/>
  <c r="AQ43" i="27"/>
  <c r="AV43" i="27" s="1"/>
  <c r="AX43" i="27" s="1"/>
  <c r="BA43" i="27" s="1"/>
  <c r="AV58" i="27"/>
  <c r="AX58" i="27" s="1"/>
  <c r="BA58" i="27" s="1"/>
  <c r="AQ53" i="27"/>
  <c r="AV53" i="27" s="1"/>
  <c r="AX53" i="27" s="1"/>
  <c r="AV55" i="27"/>
  <c r="AX55" i="27" s="1"/>
  <c r="BA55" i="27" s="1"/>
  <c r="AS49" i="27"/>
  <c r="AY49" i="27" s="1"/>
  <c r="BB49" i="27" s="1"/>
  <c r="AS55" i="27"/>
  <c r="AY55" i="27" s="1"/>
  <c r="BB55" i="27" s="1"/>
  <c r="AQ52" i="27"/>
  <c r="AV52" i="27" s="1"/>
  <c r="AX52" i="27" s="1"/>
  <c r="BA52" i="27" s="1"/>
  <c r="AS50" i="27"/>
  <c r="AY50" i="27" s="1"/>
  <c r="BB50" i="27" s="1"/>
  <c r="AQ56" i="27"/>
  <c r="AV56" i="27" s="1"/>
  <c r="AX56" i="27" s="1"/>
  <c r="AY44" i="27"/>
  <c r="AQ48" i="27"/>
  <c r="AV48" i="27" s="1"/>
  <c r="AX48" i="27" s="1"/>
  <c r="AS54" i="27"/>
  <c r="AY54" i="27" s="1"/>
  <c r="AZ54" i="27" s="1"/>
  <c r="AQ44" i="27"/>
  <c r="AV44" i="27" s="1"/>
  <c r="AX44" i="27" s="1"/>
  <c r="BA44" i="27" s="1"/>
  <c r="AQ49" i="27"/>
  <c r="AV49" i="27" s="1"/>
  <c r="AX49" i="27" s="1"/>
  <c r="AQ45" i="27"/>
  <c r="AV45" i="27" s="1"/>
  <c r="AX45" i="27" s="1"/>
  <c r="AV51" i="27"/>
  <c r="AX51" i="27" s="1"/>
  <c r="BA51" i="27" s="1"/>
  <c r="AY45" i="27"/>
  <c r="BB45" i="27" s="1"/>
  <c r="AQ50" i="27"/>
  <c r="AV50" i="27" s="1"/>
  <c r="AX50" i="27" s="1"/>
  <c r="AS52" i="27"/>
  <c r="AY52" i="27" s="1"/>
  <c r="BB52" i="27" s="1"/>
  <c r="AS53" i="27"/>
  <c r="AY53" i="27" s="1"/>
  <c r="BB53" i="27" s="1"/>
  <c r="AS56" i="27"/>
  <c r="AY56" i="27" s="1"/>
  <c r="BB56" i="27" s="1"/>
  <c r="AS48" i="27"/>
  <c r="AY48" i="27" s="1"/>
  <c r="BB48" i="27" s="1"/>
  <c r="AS57" i="27"/>
  <c r="AY57" i="27" s="1"/>
  <c r="BB57" i="27" s="1"/>
  <c r="AS47" i="27"/>
  <c r="AY47" i="27" s="1"/>
  <c r="AS51" i="27"/>
  <c r="AY51" i="27" s="1"/>
  <c r="BB51" i="27" s="1"/>
  <c r="AS43" i="27"/>
  <c r="AY43" i="27" s="1"/>
  <c r="BA54" i="27"/>
  <c r="AY58" i="27"/>
  <c r="BB54" i="27"/>
  <c r="AL38" i="27"/>
  <c r="AN38" i="27"/>
  <c r="AN42" i="27"/>
  <c r="AH42" i="27"/>
  <c r="AK42" i="27"/>
  <c r="AO42" i="27"/>
  <c r="AU42" i="27" s="1"/>
  <c r="AJ42" i="27"/>
  <c r="AP42" i="27"/>
  <c r="AL42" i="27"/>
  <c r="AI42" i="27"/>
  <c r="AJ38" i="27"/>
  <c r="AO38" i="27"/>
  <c r="AU38" i="27" s="1"/>
  <c r="AI38" i="27"/>
  <c r="AK38" i="27"/>
  <c r="AP38" i="27"/>
  <c r="AH38" i="27"/>
  <c r="AQ41" i="27"/>
  <c r="AS40" i="27"/>
  <c r="AS41" i="27"/>
  <c r="AQ40" i="27"/>
  <c r="AQ59" i="27"/>
  <c r="AQ60" i="27"/>
  <c r="AS59" i="27"/>
  <c r="AQ39" i="27"/>
  <c r="AS39" i="27"/>
  <c r="AB19" i="20"/>
  <c r="D8" i="27"/>
  <c r="C8" i="27"/>
  <c r="D23" i="27"/>
  <c r="C23" i="27"/>
  <c r="AH61" i="27"/>
  <c r="AL61" i="27"/>
  <c r="AI61" i="27"/>
  <c r="AK61" i="27"/>
  <c r="AO61" i="27"/>
  <c r="AU61" i="27" s="1"/>
  <c r="AP61" i="27"/>
  <c r="AN61" i="27"/>
  <c r="AM61" i="27"/>
  <c r="AR61" i="27" s="1"/>
  <c r="AJ61" i="27"/>
  <c r="C16" i="27"/>
  <c r="C10" i="27"/>
  <c r="D10" i="27"/>
  <c r="C18" i="27"/>
  <c r="D28" i="27"/>
  <c r="C28" i="27"/>
  <c r="D24" i="27"/>
  <c r="D16" i="27"/>
  <c r="D20" i="27"/>
  <c r="C26" i="27"/>
  <c r="C12" i="27"/>
  <c r="D18" i="27"/>
  <c r="C14" i="27"/>
  <c r="C24" i="27"/>
  <c r="O16" i="27"/>
  <c r="P16" i="27" s="1"/>
  <c r="D7" i="27"/>
  <c r="D12" i="27"/>
  <c r="C20" i="27"/>
  <c r="O26" i="27"/>
  <c r="O18" i="27"/>
  <c r="N21" i="27"/>
  <c r="Q21" i="27"/>
  <c r="S21" i="27"/>
  <c r="N25" i="27"/>
  <c r="Q25" i="27"/>
  <c r="S25" i="27"/>
  <c r="N20" i="27"/>
  <c r="P20" i="27" s="1"/>
  <c r="Q20" i="27"/>
  <c r="S20" i="27"/>
  <c r="N8" i="27"/>
  <c r="O8" i="27"/>
  <c r="Q8" i="27"/>
  <c r="R8" i="27" s="1"/>
  <c r="S8" i="27"/>
  <c r="D22" i="27"/>
  <c r="I22" i="27" s="1"/>
  <c r="N19" i="27"/>
  <c r="Q19" i="27"/>
  <c r="S19" i="27"/>
  <c r="N14" i="27"/>
  <c r="Q14" i="27"/>
  <c r="S14" i="27"/>
  <c r="N7" i="27"/>
  <c r="Q7" i="27"/>
  <c r="R7" i="27" s="1"/>
  <c r="S7" i="27"/>
  <c r="N11" i="27"/>
  <c r="Q11" i="27"/>
  <c r="S11" i="27"/>
  <c r="N15" i="27"/>
  <c r="Q15" i="27"/>
  <c r="S15" i="27"/>
  <c r="N24" i="27"/>
  <c r="P24" i="27" s="1"/>
  <c r="Q24" i="27"/>
  <c r="S24" i="27"/>
  <c r="N13" i="27"/>
  <c r="Q13" i="27"/>
  <c r="S13" i="27"/>
  <c r="N22" i="27"/>
  <c r="Q22" i="27"/>
  <c r="S22" i="27"/>
  <c r="N26" i="27"/>
  <c r="Q26" i="27"/>
  <c r="S26" i="27"/>
  <c r="N29" i="27"/>
  <c r="Q29" i="27"/>
  <c r="S29" i="27"/>
  <c r="D15" i="27"/>
  <c r="I15" i="27" s="1"/>
  <c r="N23" i="27"/>
  <c r="Q23" i="27"/>
  <c r="S23" i="27"/>
  <c r="N18" i="27"/>
  <c r="Q18" i="27"/>
  <c r="S18" i="27"/>
  <c r="N27" i="27"/>
  <c r="Q27" i="27"/>
  <c r="S27" i="27"/>
  <c r="D26" i="27"/>
  <c r="I26" i="27" s="1"/>
  <c r="D14" i="27"/>
  <c r="I14" i="27" s="1"/>
  <c r="N28" i="27"/>
  <c r="Q28" i="27"/>
  <c r="S28" i="27"/>
  <c r="O22" i="27"/>
  <c r="N17" i="27"/>
  <c r="Q17" i="27"/>
  <c r="S17" i="27"/>
  <c r="N12" i="27"/>
  <c r="P12" i="27" s="1"/>
  <c r="Q12" i="27"/>
  <c r="S12" i="27"/>
  <c r="O10" i="27"/>
  <c r="P10" i="27" s="1"/>
  <c r="S16" i="27"/>
  <c r="S10" i="27"/>
  <c r="S9" i="27"/>
  <c r="Q16" i="27"/>
  <c r="Q10" i="27"/>
  <c r="Q9" i="27"/>
  <c r="O30" i="27"/>
  <c r="P30" i="27" s="1"/>
  <c r="D30" i="27"/>
  <c r="J30" i="27" s="1"/>
  <c r="C30" i="27"/>
  <c r="Q30" i="27"/>
  <c r="S30" i="27"/>
  <c r="C21" i="27"/>
  <c r="D21" i="27"/>
  <c r="I21" i="27" s="1"/>
  <c r="C13" i="27"/>
  <c r="D29" i="27"/>
  <c r="I29" i="27" s="1"/>
  <c r="C19" i="27"/>
  <c r="D27" i="27"/>
  <c r="I27" i="27" s="1"/>
  <c r="D11" i="27"/>
  <c r="I11" i="27" s="1"/>
  <c r="C29" i="27"/>
  <c r="D13" i="27"/>
  <c r="I13" i="27" s="1"/>
  <c r="C27" i="27"/>
  <c r="C11" i="27"/>
  <c r="D19" i="27"/>
  <c r="I19" i="27" s="1"/>
  <c r="C25" i="27"/>
  <c r="C17" i="27"/>
  <c r="C9" i="27"/>
  <c r="D25" i="27"/>
  <c r="I25" i="27" s="1"/>
  <c r="D17" i="27"/>
  <c r="I17" i="27" s="1"/>
  <c r="D9" i="27"/>
  <c r="I9" i="27" s="1"/>
  <c r="O29" i="27"/>
  <c r="O27" i="27"/>
  <c r="O25" i="27"/>
  <c r="O23" i="27"/>
  <c r="O21" i="27"/>
  <c r="O19" i="27"/>
  <c r="O17" i="27"/>
  <c r="O15" i="27"/>
  <c r="O13" i="27"/>
  <c r="O11" i="27"/>
  <c r="O9" i="27"/>
  <c r="O7" i="27"/>
  <c r="P14" i="27" l="1"/>
  <c r="P28" i="27"/>
  <c r="P9" i="27"/>
  <c r="J28" i="27"/>
  <c r="I28" i="27"/>
  <c r="J23" i="27"/>
  <c r="I23" i="27"/>
  <c r="J18" i="27"/>
  <c r="I18" i="27"/>
  <c r="J8" i="27"/>
  <c r="I8" i="27"/>
  <c r="K10" i="27"/>
  <c r="I10" i="27"/>
  <c r="K12" i="27"/>
  <c r="I12" i="27"/>
  <c r="J20" i="27"/>
  <c r="I20" i="27"/>
  <c r="J7" i="27"/>
  <c r="I7" i="27"/>
  <c r="K16" i="27"/>
  <c r="I16" i="27"/>
  <c r="J24" i="27"/>
  <c r="I24" i="27"/>
  <c r="AZ47" i="27"/>
  <c r="AS38" i="27"/>
  <c r="AZ43" i="27"/>
  <c r="AZ50" i="27"/>
  <c r="AZ48" i="27"/>
  <c r="AZ57" i="27"/>
  <c r="AZ51" i="27"/>
  <c r="AZ58" i="27"/>
  <c r="AZ46" i="27"/>
  <c r="BC52" i="27"/>
  <c r="AZ53" i="27"/>
  <c r="BA53" i="27"/>
  <c r="BB46" i="27"/>
  <c r="BC46" i="27" s="1"/>
  <c r="BB47" i="27"/>
  <c r="BC47" i="27" s="1"/>
  <c r="AZ44" i="27"/>
  <c r="AZ45" i="27"/>
  <c r="AZ55" i="27"/>
  <c r="AZ52" i="27"/>
  <c r="BC55" i="27"/>
  <c r="BB44" i="27"/>
  <c r="BC44" i="27" s="1"/>
  <c r="BA48" i="27"/>
  <c r="BC48" i="27" s="1"/>
  <c r="BC57" i="27"/>
  <c r="AS42" i="27"/>
  <c r="BB43" i="27"/>
  <c r="BC43" i="27" s="1"/>
  <c r="AQ38" i="27"/>
  <c r="BB58" i="27"/>
  <c r="BC58" i="27" s="1"/>
  <c r="AQ42" i="27"/>
  <c r="BC53" i="27"/>
  <c r="BC54" i="27"/>
  <c r="BA50" i="27"/>
  <c r="BC50" i="27" s="1"/>
  <c r="BA45" i="27"/>
  <c r="BC45" i="27" s="1"/>
  <c r="BA49" i="27"/>
  <c r="BC49" i="27" s="1"/>
  <c r="AZ49" i="27"/>
  <c r="BC51" i="27"/>
  <c r="BA56" i="27"/>
  <c r="BC56" i="27" s="1"/>
  <c r="AZ56" i="27"/>
  <c r="J10" i="27"/>
  <c r="AQ61" i="27"/>
  <c r="K23" i="27"/>
  <c r="P21" i="27"/>
  <c r="K8" i="27"/>
  <c r="P29" i="27"/>
  <c r="P25" i="27"/>
  <c r="AS61" i="27"/>
  <c r="K28" i="27"/>
  <c r="J16" i="27"/>
  <c r="K24" i="27"/>
  <c r="P18" i="27"/>
  <c r="P13" i="27"/>
  <c r="K20" i="27"/>
  <c r="K7" i="27"/>
  <c r="J12" i="27"/>
  <c r="P7" i="27"/>
  <c r="P23" i="27"/>
  <c r="K18" i="27"/>
  <c r="P17" i="27"/>
  <c r="P8" i="27"/>
  <c r="P27" i="27"/>
  <c r="P26" i="27"/>
  <c r="P19" i="27"/>
  <c r="J25" i="27"/>
  <c r="K25" i="27"/>
  <c r="J19" i="27"/>
  <c r="K19" i="27"/>
  <c r="J29" i="27"/>
  <c r="K29" i="27"/>
  <c r="J22" i="27"/>
  <c r="K22" i="27"/>
  <c r="J13" i="27"/>
  <c r="K13" i="27"/>
  <c r="K30" i="27"/>
  <c r="P22" i="27"/>
  <c r="P11" i="27"/>
  <c r="J21" i="27"/>
  <c r="K21" i="27"/>
  <c r="J11" i="27"/>
  <c r="K11" i="27"/>
  <c r="J14" i="27"/>
  <c r="K14" i="27"/>
  <c r="J17" i="27"/>
  <c r="K17" i="27"/>
  <c r="P15" i="27"/>
  <c r="J9" i="27"/>
  <c r="K9" i="27"/>
  <c r="J27" i="27"/>
  <c r="K27" i="27"/>
  <c r="J26" i="27"/>
  <c r="K26" i="27"/>
  <c r="J15" i="27"/>
  <c r="K15" i="27"/>
  <c r="P43" i="26" l="1"/>
  <c r="I50" i="26"/>
  <c r="H50" i="26"/>
  <c r="I48" i="26"/>
  <c r="H48" i="26"/>
  <c r="I46" i="26"/>
  <c r="H46" i="26"/>
  <c r="I49" i="26"/>
  <c r="H49" i="26"/>
  <c r="I47" i="26"/>
  <c r="H47" i="26"/>
  <c r="I45" i="26"/>
  <c r="H45" i="26"/>
  <c r="I44" i="26"/>
  <c r="H44" i="26"/>
  <c r="I43" i="26"/>
  <c r="H43" i="26"/>
  <c r="Y6" i="27" l="1"/>
  <c r="P56" i="26"/>
  <c r="P57" i="26"/>
  <c r="P55" i="26"/>
  <c r="K56" i="26"/>
  <c r="L56" i="26"/>
  <c r="K57" i="26"/>
  <c r="L57" i="26"/>
  <c r="L55" i="26"/>
  <c r="K55" i="26"/>
  <c r="J56" i="26"/>
  <c r="J57" i="26"/>
  <c r="J55" i="26"/>
  <c r="F56" i="26"/>
  <c r="F57" i="26"/>
  <c r="F55" i="26"/>
  <c r="E56" i="26"/>
  <c r="E57" i="26"/>
  <c r="E55" i="26"/>
  <c r="P52" i="26"/>
  <c r="P53" i="26"/>
  <c r="P54" i="26"/>
  <c r="G52" i="26"/>
  <c r="G53" i="26"/>
  <c r="G54" i="26"/>
  <c r="F53" i="26"/>
  <c r="F54" i="26"/>
  <c r="F52" i="26"/>
  <c r="E53" i="26"/>
  <c r="E54" i="26"/>
  <c r="E52" i="26"/>
  <c r="P51" i="26" l="1"/>
  <c r="H51" i="26"/>
  <c r="I51" i="26" s="1"/>
  <c r="F51" i="26"/>
  <c r="G51" i="26" s="1"/>
  <c r="E51" i="26"/>
  <c r="P44" i="26"/>
  <c r="P45" i="26"/>
  <c r="P46" i="26"/>
  <c r="P47" i="26"/>
  <c r="P48" i="26"/>
  <c r="P49" i="26"/>
  <c r="P50" i="26"/>
  <c r="G50" i="26"/>
  <c r="G49" i="26"/>
  <c r="G48" i="26"/>
  <c r="G47" i="26"/>
  <c r="G46" i="26"/>
  <c r="G45" i="26"/>
  <c r="G44" i="26"/>
  <c r="G43" i="26"/>
  <c r="F50" i="26"/>
  <c r="F49" i="26"/>
  <c r="F48" i="26"/>
  <c r="F47" i="26"/>
  <c r="F46" i="26"/>
  <c r="F45" i="26"/>
  <c r="F44" i="26"/>
  <c r="F43" i="26"/>
  <c r="E50" i="26"/>
  <c r="E49" i="26"/>
  <c r="E48" i="26"/>
  <c r="E47" i="26"/>
  <c r="E46" i="26"/>
  <c r="E45" i="26"/>
  <c r="E44" i="26"/>
  <c r="E43" i="26"/>
  <c r="P36" i="26" l="1"/>
  <c r="P37" i="26"/>
  <c r="P38" i="26"/>
  <c r="P39" i="26"/>
  <c r="P40" i="26"/>
  <c r="P41" i="26"/>
  <c r="P42" i="26"/>
  <c r="P35" i="26"/>
  <c r="W6" i="27"/>
  <c r="X6" i="27"/>
  <c r="V6" i="27"/>
  <c r="H6" i="27"/>
  <c r="M6" i="27"/>
  <c r="G6" i="27" l="1"/>
  <c r="F6" i="27"/>
  <c r="C6" i="27"/>
  <c r="Q6" i="27"/>
  <c r="R6" i="27" s="1"/>
  <c r="S6" i="27"/>
  <c r="N6" i="27"/>
  <c r="O6" i="27"/>
  <c r="D6" i="27"/>
  <c r="I6" i="27" s="1"/>
  <c r="K6" i="27" l="1"/>
  <c r="J6" i="27"/>
  <c r="P6" i="27"/>
  <c r="I38" i="26" l="1"/>
  <c r="I40" i="26"/>
  <c r="I42" i="26"/>
  <c r="I41" i="26"/>
  <c r="I39" i="26"/>
  <c r="I37" i="26"/>
  <c r="H42" i="26"/>
  <c r="H41" i="26"/>
  <c r="H40" i="26"/>
  <c r="H39" i="26"/>
  <c r="H38" i="26"/>
  <c r="H37" i="26"/>
  <c r="I36" i="26"/>
  <c r="I35" i="26"/>
  <c r="H36" i="26"/>
  <c r="H35" i="26"/>
  <c r="G40" i="26"/>
  <c r="F40" i="26"/>
  <c r="G42" i="26"/>
  <c r="F42" i="26"/>
  <c r="G41" i="26"/>
  <c r="F41" i="26"/>
  <c r="G39" i="26"/>
  <c r="F39" i="26"/>
  <c r="G38" i="26"/>
  <c r="F38" i="26"/>
  <c r="G37" i="26"/>
  <c r="F37" i="26"/>
  <c r="E73" i="26"/>
  <c r="G35" i="26" s="1"/>
  <c r="D73" i="26"/>
  <c r="G36" i="26" s="1"/>
  <c r="E42" i="26"/>
  <c r="E41" i="26"/>
  <c r="E40" i="26"/>
  <c r="E39" i="26"/>
  <c r="E38" i="26"/>
  <c r="E37" i="26"/>
  <c r="E36" i="26"/>
  <c r="E35" i="26"/>
  <c r="AB6" i="27" s="1"/>
  <c r="AA6" i="27" l="1"/>
  <c r="AD6" i="27" s="1"/>
  <c r="AI30" i="27"/>
  <c r="AI12" i="27"/>
  <c r="Z14" i="27"/>
  <c r="AC14" i="27" s="1"/>
  <c r="AA24" i="27"/>
  <c r="AD24" i="27" s="1"/>
  <c r="AA30" i="27"/>
  <c r="AD30" i="27" s="1"/>
  <c r="AI24" i="27"/>
  <c r="AA16" i="27"/>
  <c r="AD16" i="27" s="1"/>
  <c r="AB20" i="27"/>
  <c r="AA12" i="27"/>
  <c r="AD12" i="27" s="1"/>
  <c r="AA14" i="27"/>
  <c r="AD14" i="27" s="1"/>
  <c r="AA20" i="27"/>
  <c r="AD20" i="27" s="1"/>
  <c r="Z10" i="27"/>
  <c r="AC10" i="27" s="1"/>
  <c r="AI14" i="27"/>
  <c r="Z20" i="27"/>
  <c r="AC20" i="27" s="1"/>
  <c r="AB30" i="27"/>
  <c r="Z30" i="27"/>
  <c r="AC30" i="27" s="1"/>
  <c r="AB12" i="27"/>
  <c r="Z16" i="27"/>
  <c r="AC16" i="27" s="1"/>
  <c r="AA28" i="27"/>
  <c r="AD28" i="27" s="1"/>
  <c r="AI9" i="27"/>
  <c r="AI20" i="27"/>
  <c r="AI10" i="27"/>
  <c r="AA9" i="27"/>
  <c r="AD9" i="27" s="1"/>
  <c r="AI28" i="27"/>
  <c r="Z9" i="27"/>
  <c r="AC9" i="27" s="1"/>
  <c r="AA10" i="27"/>
  <c r="AD10" i="27" s="1"/>
  <c r="AB16" i="27"/>
  <c r="Z28" i="27"/>
  <c r="AC28" i="27" s="1"/>
  <c r="AB28" i="27"/>
  <c r="AB24" i="27"/>
  <c r="AB9" i="27"/>
  <c r="Z12" i="27"/>
  <c r="AC12" i="27" s="1"/>
  <c r="AI16" i="27"/>
  <c r="AB14" i="27"/>
  <c r="Z24" i="27"/>
  <c r="AC24" i="27" s="1"/>
  <c r="AB10" i="27"/>
  <c r="AI17" i="27"/>
  <c r="AI26" i="27"/>
  <c r="AB19" i="27"/>
  <c r="AA23" i="27"/>
  <c r="AD23" i="27" s="1"/>
  <c r="AB22" i="27"/>
  <c r="Z7" i="27"/>
  <c r="AC7" i="27" s="1"/>
  <c r="Z13" i="27"/>
  <c r="AC13" i="27" s="1"/>
  <c r="AB11" i="27"/>
  <c r="AA25" i="27"/>
  <c r="AD25" i="27" s="1"/>
  <c r="AA11" i="27"/>
  <c r="AD11" i="27" s="1"/>
  <c r="Z18" i="27"/>
  <c r="AC18" i="27" s="1"/>
  <c r="AI13" i="27"/>
  <c r="AB15" i="27"/>
  <c r="AB13" i="27"/>
  <c r="AI11" i="27"/>
  <c r="AI25" i="27"/>
  <c r="Z19" i="27"/>
  <c r="AC19" i="27" s="1"/>
  <c r="AB23" i="27"/>
  <c r="Z22" i="27"/>
  <c r="AC22" i="27" s="1"/>
  <c r="AA7" i="27"/>
  <c r="AD7" i="27" s="1"/>
  <c r="Z11" i="27"/>
  <c r="AC11" i="27" s="1"/>
  <c r="AA15" i="27"/>
  <c r="AD15" i="27" s="1"/>
  <c r="AI18" i="27"/>
  <c r="Z15" i="27"/>
  <c r="AC15" i="27" s="1"/>
  <c r="AI22" i="27"/>
  <c r="AI8" i="27"/>
  <c r="AA29" i="27"/>
  <c r="AD29" i="27" s="1"/>
  <c r="Z23" i="27"/>
  <c r="AC23" i="27" s="1"/>
  <c r="AA26" i="27"/>
  <c r="AD26" i="27" s="1"/>
  <c r="AB7" i="27"/>
  <c r="Z17" i="27"/>
  <c r="AC17" i="27" s="1"/>
  <c r="AA13" i="27"/>
  <c r="AD13" i="27" s="1"/>
  <c r="AA19" i="27"/>
  <c r="AD19" i="27" s="1"/>
  <c r="Z25" i="27"/>
  <c r="AC25" i="27" s="1"/>
  <c r="AI23" i="27"/>
  <c r="AI15" i="27"/>
  <c r="AB29" i="27"/>
  <c r="AB26" i="27"/>
  <c r="AA17" i="27"/>
  <c r="AD17" i="27" s="1"/>
  <c r="AB18" i="27"/>
  <c r="AA27" i="27"/>
  <c r="AD27" i="27" s="1"/>
  <c r="AB25" i="27"/>
  <c r="AB27" i="27"/>
  <c r="AI7" i="27"/>
  <c r="AI27" i="27"/>
  <c r="Z29" i="27"/>
  <c r="AC29" i="27" s="1"/>
  <c r="Z26" i="27"/>
  <c r="AC26" i="27" s="1"/>
  <c r="AB17" i="27"/>
  <c r="AA18" i="27"/>
  <c r="AD18" i="27" s="1"/>
  <c r="AB21" i="27"/>
  <c r="AA21" i="27"/>
  <c r="AD21" i="27" s="1"/>
  <c r="AA8" i="27"/>
  <c r="AD8" i="27" s="1"/>
  <c r="AI19" i="27"/>
  <c r="AI29" i="27"/>
  <c r="Z21" i="27"/>
  <c r="AC21" i="27" s="1"/>
  <c r="Z27" i="27"/>
  <c r="AC27" i="27" s="1"/>
  <c r="AB8" i="27"/>
  <c r="AI21" i="27"/>
  <c r="Z8" i="27"/>
  <c r="AC8" i="27" s="1"/>
  <c r="AA22" i="27"/>
  <c r="AD22" i="27" s="1"/>
  <c r="Z6" i="27"/>
  <c r="AI6" i="27"/>
  <c r="F35" i="26"/>
  <c r="F36" i="26"/>
  <c r="E23" i="27" l="1"/>
  <c r="AE23" i="27"/>
  <c r="AF23" i="27" s="1"/>
  <c r="E10" i="27"/>
  <c r="AE10" i="27"/>
  <c r="AF10" i="27" s="1"/>
  <c r="AE22" i="27"/>
  <c r="AF22" i="27" s="1"/>
  <c r="E22" i="27"/>
  <c r="E17" i="27"/>
  <c r="AE17" i="27"/>
  <c r="AF17" i="27" s="1"/>
  <c r="AE20" i="27"/>
  <c r="AF20" i="27" s="1"/>
  <c r="E20" i="27"/>
  <c r="E14" i="27"/>
  <c r="AE14" i="27"/>
  <c r="AF14" i="27" s="1"/>
  <c r="AE13" i="27"/>
  <c r="AF13" i="27" s="1"/>
  <c r="E13" i="27"/>
  <c r="AE25" i="27"/>
  <c r="AF25" i="27" s="1"/>
  <c r="E25" i="27"/>
  <c r="AE9" i="27"/>
  <c r="AF9" i="27" s="1"/>
  <c r="E9" i="27"/>
  <c r="AE15" i="27"/>
  <c r="AF15" i="27" s="1"/>
  <c r="E15" i="27"/>
  <c r="E21" i="27"/>
  <c r="AE21" i="27"/>
  <c r="AF21" i="27" s="1"/>
  <c r="E24" i="27"/>
  <c r="AE24" i="27"/>
  <c r="AF24" i="27" s="1"/>
  <c r="E11" i="27"/>
  <c r="AE11" i="27"/>
  <c r="AF11" i="27" s="1"/>
  <c r="AE26" i="27"/>
  <c r="AF26" i="27" s="1"/>
  <c r="E26" i="27"/>
  <c r="AE29" i="27"/>
  <c r="AF29" i="27" s="1"/>
  <c r="E29" i="27"/>
  <c r="AE12" i="27"/>
  <c r="AF12" i="27" s="1"/>
  <c r="E12" i="27"/>
  <c r="E7" i="27"/>
  <c r="AE7" i="27"/>
  <c r="AF7" i="27" s="1"/>
  <c r="AE28" i="27"/>
  <c r="AF28" i="27" s="1"/>
  <c r="E28" i="27"/>
  <c r="E8" i="27"/>
  <c r="AE8" i="27"/>
  <c r="AF8" i="27" s="1"/>
  <c r="AE18" i="27"/>
  <c r="AF18" i="27" s="1"/>
  <c r="E18" i="27"/>
  <c r="AE19" i="27"/>
  <c r="AF19" i="27" s="1"/>
  <c r="E19" i="27"/>
  <c r="E27" i="27"/>
  <c r="AE27" i="27"/>
  <c r="AF27" i="27" s="1"/>
  <c r="AE16" i="27"/>
  <c r="AF16" i="27" s="1"/>
  <c r="E16" i="27"/>
  <c r="AE30" i="27"/>
  <c r="AF30" i="27" s="1"/>
  <c r="E30" i="27"/>
  <c r="B2" i="20"/>
  <c r="BA22" i="27" l="1"/>
  <c r="AK22" i="27"/>
  <c r="AL22" i="27"/>
  <c r="BA12" i="27"/>
  <c r="AK12" i="27"/>
  <c r="AL12" i="27"/>
  <c r="BA11" i="27"/>
  <c r="AL11" i="27"/>
  <c r="AK11" i="27"/>
  <c r="BA15" i="27"/>
  <c r="AL15" i="27"/>
  <c r="AK15" i="27"/>
  <c r="BA20" i="27"/>
  <c r="AK20" i="27"/>
  <c r="AL20" i="27"/>
  <c r="BA28" i="27"/>
  <c r="AK28" i="27"/>
  <c r="AL28" i="27"/>
  <c r="BA29" i="27"/>
  <c r="AK29" i="27"/>
  <c r="AL29" i="27"/>
  <c r="BA24" i="27"/>
  <c r="AK24" i="27"/>
  <c r="AL24" i="27"/>
  <c r="BA17" i="27"/>
  <c r="AK17" i="27"/>
  <c r="AL17" i="27"/>
  <c r="BA10" i="27"/>
  <c r="AK10" i="27"/>
  <c r="AL10" i="27"/>
  <c r="BA16" i="27"/>
  <c r="AK16" i="27"/>
  <c r="AL16" i="27"/>
  <c r="AL7" i="27"/>
  <c r="BA13" i="27"/>
  <c r="AK13" i="27"/>
  <c r="AL13" i="27"/>
  <c r="BA23" i="27"/>
  <c r="AL23" i="27"/>
  <c r="AK23" i="27"/>
  <c r="BA19" i="27"/>
  <c r="AL19" i="27"/>
  <c r="AK19" i="27"/>
  <c r="BA27" i="27"/>
  <c r="AL27" i="27"/>
  <c r="AK27" i="27"/>
  <c r="BA18" i="27"/>
  <c r="AK18" i="27"/>
  <c r="AL18" i="27"/>
  <c r="BA14" i="27"/>
  <c r="AL14" i="27"/>
  <c r="AK14" i="27"/>
  <c r="BA30" i="27"/>
  <c r="AK30" i="27"/>
  <c r="AL30" i="27"/>
  <c r="BA25" i="27"/>
  <c r="AK25" i="27"/>
  <c r="AL25" i="27"/>
  <c r="AL8" i="27"/>
  <c r="BA26" i="27"/>
  <c r="AL26" i="27"/>
  <c r="AK26" i="27"/>
  <c r="BA21" i="27"/>
  <c r="AL21" i="27"/>
  <c r="AK21" i="27"/>
  <c r="AL9" i="27"/>
  <c r="AK9" i="27"/>
  <c r="AZ12" i="27"/>
  <c r="AQ12" i="27"/>
  <c r="AJ12" i="27"/>
  <c r="AT12" i="27" s="1"/>
  <c r="AN12" i="27"/>
  <c r="AZ15" i="27"/>
  <c r="AQ15" i="27"/>
  <c r="AN15" i="27"/>
  <c r="AJ15" i="27"/>
  <c r="AT15" i="27" s="1"/>
  <c r="AZ24" i="27"/>
  <c r="AN24" i="27"/>
  <c r="AQ24" i="27"/>
  <c r="AJ24" i="27"/>
  <c r="AT24" i="27" s="1"/>
  <c r="AZ26" i="27"/>
  <c r="AN26" i="27"/>
  <c r="AQ26" i="27"/>
  <c r="AJ26" i="27"/>
  <c r="AT26" i="27" s="1"/>
  <c r="AZ14" i="27"/>
  <c r="AN14" i="27"/>
  <c r="AJ14" i="27"/>
  <c r="AT14" i="27" s="1"/>
  <c r="AQ14" i="27"/>
  <c r="AZ18" i="27"/>
  <c r="AN18" i="27"/>
  <c r="AQ18" i="27"/>
  <c r="AJ18" i="27"/>
  <c r="AT18" i="27" s="1"/>
  <c r="AZ28" i="27"/>
  <c r="AN28" i="27"/>
  <c r="AQ28" i="27"/>
  <c r="AJ28" i="27"/>
  <c r="AT28" i="27" s="1"/>
  <c r="AZ25" i="27"/>
  <c r="AN25" i="27"/>
  <c r="AQ25" i="27"/>
  <c r="AJ25" i="27"/>
  <c r="AT25" i="27" s="1"/>
  <c r="AZ8" i="27"/>
  <c r="AJ8" i="27"/>
  <c r="AT8" i="27" s="1"/>
  <c r="AZ11" i="27"/>
  <c r="AQ11" i="27"/>
  <c r="AJ11" i="27"/>
  <c r="AT11" i="27" s="1"/>
  <c r="AN11" i="27"/>
  <c r="AZ21" i="27"/>
  <c r="AQ21" i="27"/>
  <c r="AJ21" i="27"/>
  <c r="AT21" i="27" s="1"/>
  <c r="AN21" i="27"/>
  <c r="AZ23" i="27"/>
  <c r="AN23" i="27"/>
  <c r="AQ23" i="27"/>
  <c r="AJ23" i="27"/>
  <c r="AT23" i="27" s="1"/>
  <c r="AZ27" i="27"/>
  <c r="AN27" i="27"/>
  <c r="AQ27" i="27"/>
  <c r="AJ27" i="27"/>
  <c r="AT27" i="27" s="1"/>
  <c r="AZ10" i="27"/>
  <c r="AQ10" i="27"/>
  <c r="AJ10" i="27"/>
  <c r="AT10" i="27" s="1"/>
  <c r="AN10" i="27"/>
  <c r="AZ19" i="27"/>
  <c r="AN19" i="27"/>
  <c r="AQ19" i="27"/>
  <c r="AJ19" i="27"/>
  <c r="AT19" i="27" s="1"/>
  <c r="AZ7" i="27"/>
  <c r="AJ7" i="27"/>
  <c r="AT7" i="27" s="1"/>
  <c r="AZ29" i="27"/>
  <c r="AN29" i="27"/>
  <c r="AQ29" i="27"/>
  <c r="AJ29" i="27"/>
  <c r="AT29" i="27" s="1"/>
  <c r="AZ22" i="27"/>
  <c r="AJ22" i="27"/>
  <c r="AT22" i="27" s="1"/>
  <c r="AN22" i="27"/>
  <c r="AQ22" i="27"/>
  <c r="AZ30" i="27"/>
  <c r="AQ30" i="27"/>
  <c r="AJ30" i="27"/>
  <c r="AT30" i="27" s="1"/>
  <c r="AN30" i="27"/>
  <c r="AZ13" i="27"/>
  <c r="AJ13" i="27"/>
  <c r="AT13" i="27" s="1"/>
  <c r="AN13" i="27"/>
  <c r="AQ13" i="27"/>
  <c r="AZ17" i="27"/>
  <c r="AN17" i="27"/>
  <c r="AQ17" i="27"/>
  <c r="AJ17" i="27"/>
  <c r="AT17" i="27" s="1"/>
  <c r="AZ16" i="27"/>
  <c r="AN16" i="27"/>
  <c r="AJ16" i="27"/>
  <c r="AT16" i="27" s="1"/>
  <c r="AQ16" i="27"/>
  <c r="AZ9" i="27"/>
  <c r="AQ9" i="27"/>
  <c r="AJ9" i="27"/>
  <c r="AT9" i="27" s="1"/>
  <c r="AN9" i="27"/>
  <c r="AZ20" i="27"/>
  <c r="AN20" i="27"/>
  <c r="AQ20" i="27"/>
  <c r="AJ20" i="27"/>
  <c r="AT20" i="27" s="1"/>
  <c r="AA40" i="2"/>
  <c r="AG30" i="27"/>
  <c r="AA25" i="2"/>
  <c r="AG15" i="27"/>
  <c r="AG26" i="27"/>
  <c r="AA36" i="2"/>
  <c r="AG28" i="27"/>
  <c r="AA38" i="2"/>
  <c r="AA26" i="2"/>
  <c r="AG16" i="27"/>
  <c r="AA35" i="2"/>
  <c r="AG25" i="27"/>
  <c r="AA28" i="2"/>
  <c r="AG18" i="27"/>
  <c r="AG7" i="27"/>
  <c r="AA17" i="2"/>
  <c r="AA21" i="2"/>
  <c r="AG11" i="27"/>
  <c r="AA31" i="2"/>
  <c r="AG21" i="27"/>
  <c r="AG23" i="27"/>
  <c r="AA33" i="2"/>
  <c r="AA39" i="2"/>
  <c r="AG29" i="27"/>
  <c r="AG22" i="27"/>
  <c r="AA32" i="2"/>
  <c r="AA24" i="2"/>
  <c r="AG14" i="27"/>
  <c r="AG8" i="27"/>
  <c r="AA18" i="2"/>
  <c r="AA23" i="2"/>
  <c r="AG13" i="27"/>
  <c r="AA20" i="2"/>
  <c r="AG10" i="27"/>
  <c r="AA30" i="2"/>
  <c r="AG20" i="27"/>
  <c r="AA22" i="2"/>
  <c r="AG12" i="27"/>
  <c r="AA19" i="2"/>
  <c r="AG9" i="27"/>
  <c r="AA29" i="2"/>
  <c r="AG19" i="27"/>
  <c r="AG27" i="27"/>
  <c r="AA37" i="2"/>
  <c r="AA34" i="2"/>
  <c r="AG24" i="27"/>
  <c r="AA27" i="2"/>
  <c r="AG17" i="27"/>
  <c r="H26" i="14"/>
  <c r="H24" i="14"/>
  <c r="H22" i="14"/>
  <c r="F7" i="23" l="1"/>
  <c r="T72" i="27" l="1"/>
  <c r="Y72" i="27" s="1"/>
  <c r="T76" i="27"/>
  <c r="Y76" i="27" s="1"/>
  <c r="T73" i="27"/>
  <c r="Y73" i="27" s="1"/>
  <c r="T74" i="27"/>
  <c r="Y74" i="27" s="1"/>
  <c r="T69" i="27"/>
  <c r="Y69" i="27" s="1"/>
  <c r="T75" i="27"/>
  <c r="Y75" i="27" s="1"/>
  <c r="T70" i="27"/>
  <c r="Y70" i="27" s="1"/>
  <c r="T68" i="27"/>
  <c r="Y68" i="27" s="1"/>
  <c r="T77" i="27"/>
  <c r="Y77" i="27" s="1"/>
  <c r="T71" i="27"/>
  <c r="Y71" i="27" s="1"/>
  <c r="F6" i="2"/>
  <c r="B42" i="27" l="1"/>
  <c r="B41" i="27"/>
  <c r="B40" i="27"/>
  <c r="AB15" i="20"/>
  <c r="B38" i="27"/>
  <c r="B39" i="27"/>
  <c r="B59" i="27"/>
  <c r="B60" i="27"/>
  <c r="B61" i="27"/>
  <c r="AA12" i="2"/>
  <c r="B16" i="27"/>
  <c r="B9" i="27"/>
  <c r="B28" i="27"/>
  <c r="B14" i="27"/>
  <c r="B20" i="27"/>
  <c r="B24" i="27"/>
  <c r="B12" i="27"/>
  <c r="B10" i="27"/>
  <c r="B30" i="27"/>
  <c r="B19" i="27"/>
  <c r="B29" i="27"/>
  <c r="B25" i="27"/>
  <c r="B22" i="27"/>
  <c r="B11" i="27"/>
  <c r="B27" i="27"/>
  <c r="B8" i="27"/>
  <c r="B21" i="27"/>
  <c r="B13" i="27"/>
  <c r="B7" i="27"/>
  <c r="B18" i="27"/>
  <c r="B15" i="27"/>
  <c r="B23" i="27"/>
  <c r="B26" i="27"/>
  <c r="B17" i="27"/>
  <c r="AB20" i="2" l="1"/>
  <c r="AB28" i="2"/>
  <c r="AB36" i="2"/>
  <c r="AB21" i="2"/>
  <c r="AB29" i="2"/>
  <c r="AB37" i="2"/>
  <c r="AB40" i="2"/>
  <c r="AB22" i="2"/>
  <c r="AB30" i="2"/>
  <c r="AB38" i="2"/>
  <c r="AB23" i="2"/>
  <c r="AB31" i="2"/>
  <c r="AB39" i="2"/>
  <c r="AB24" i="2"/>
  <c r="AB32" i="2"/>
  <c r="AB25" i="2"/>
  <c r="AB33" i="2"/>
  <c r="AB35" i="2"/>
  <c r="AB26" i="2"/>
  <c r="AB34" i="2"/>
  <c r="AB27" i="2"/>
  <c r="S40" i="27"/>
  <c r="AV40" i="27" s="1"/>
  <c r="AX40" i="27" s="1"/>
  <c r="T40" i="27"/>
  <c r="T41" i="27"/>
  <c r="S41" i="27"/>
  <c r="AV41" i="27" s="1"/>
  <c r="AX41" i="27" s="1"/>
  <c r="BA41" i="27" s="1"/>
  <c r="S42" i="27"/>
  <c r="AV42" i="27" s="1"/>
  <c r="AX42" i="27" s="1"/>
  <c r="T42" i="27"/>
  <c r="AY42" i="27" s="1"/>
  <c r="BB42" i="27" s="1"/>
  <c r="S61" i="27"/>
  <c r="AV61" i="27" s="1"/>
  <c r="AX61" i="27" s="1"/>
  <c r="T61" i="27"/>
  <c r="AY61" i="27" s="1"/>
  <c r="BB61" i="27" s="1"/>
  <c r="T60" i="27"/>
  <c r="AY60" i="27" s="1"/>
  <c r="BB60" i="27" s="1"/>
  <c r="S60" i="27"/>
  <c r="AV60" i="27" s="1"/>
  <c r="AX60" i="27" s="1"/>
  <c r="S59" i="27"/>
  <c r="AV59" i="27" s="1"/>
  <c r="T59" i="27"/>
  <c r="T39" i="27"/>
  <c r="S39" i="27"/>
  <c r="AV39" i="27" s="1"/>
  <c r="AX39" i="27" s="1"/>
  <c r="S38" i="27"/>
  <c r="AV38" i="27" s="1"/>
  <c r="AX38" i="27" s="1"/>
  <c r="T38" i="27"/>
  <c r="AY38" i="27" s="1"/>
  <c r="BB38" i="27" s="1"/>
  <c r="U24" i="27"/>
  <c r="T24" i="27"/>
  <c r="AM24" i="27" s="1"/>
  <c r="AU24" i="27" s="1"/>
  <c r="T12" i="27"/>
  <c r="AM12" i="27" s="1"/>
  <c r="AU12" i="27" s="1"/>
  <c r="U12" i="27"/>
  <c r="U15" i="27"/>
  <c r="T15" i="27"/>
  <c r="AM15" i="27" s="1"/>
  <c r="AU15" i="27" s="1"/>
  <c r="U25" i="27"/>
  <c r="T25" i="27"/>
  <c r="AM25" i="27" s="1"/>
  <c r="AU25" i="27" s="1"/>
  <c r="U9" i="27"/>
  <c r="T9" i="27"/>
  <c r="AM9" i="27" s="1"/>
  <c r="U27" i="27"/>
  <c r="T27" i="27"/>
  <c r="U11" i="27"/>
  <c r="T11" i="27"/>
  <c r="AM11" i="27" s="1"/>
  <c r="AU11" i="27" s="1"/>
  <c r="T20" i="27"/>
  <c r="AM20" i="27" s="1"/>
  <c r="AU20" i="27" s="1"/>
  <c r="U20" i="27"/>
  <c r="T18" i="27"/>
  <c r="AM18" i="27" s="1"/>
  <c r="AU18" i="27" s="1"/>
  <c r="U18" i="27"/>
  <c r="U7" i="27"/>
  <c r="T7" i="27"/>
  <c r="AK7" i="27" s="1"/>
  <c r="T29" i="27"/>
  <c r="AM29" i="27" s="1"/>
  <c r="AU29" i="27" s="1"/>
  <c r="U29" i="27"/>
  <c r="U19" i="27"/>
  <c r="T19" i="27"/>
  <c r="AM19" i="27" s="1"/>
  <c r="AU19" i="27" s="1"/>
  <c r="U21" i="27"/>
  <c r="T21" i="27"/>
  <c r="AM21" i="27" s="1"/>
  <c r="AU21" i="27" s="1"/>
  <c r="T30" i="27"/>
  <c r="AM30" i="27" s="1"/>
  <c r="AU30" i="27" s="1"/>
  <c r="U30" i="27"/>
  <c r="U16" i="27"/>
  <c r="T16" i="27"/>
  <c r="AM16" i="27" s="1"/>
  <c r="AU16" i="27" s="1"/>
  <c r="U26" i="27"/>
  <c r="T26" i="27"/>
  <c r="T23" i="27"/>
  <c r="AM23" i="27" s="1"/>
  <c r="AU23" i="27" s="1"/>
  <c r="U23" i="27"/>
  <c r="T22" i="27"/>
  <c r="AM22" i="27" s="1"/>
  <c r="AU22" i="27" s="1"/>
  <c r="U22" i="27"/>
  <c r="U14" i="27"/>
  <c r="T14" i="27"/>
  <c r="AM14" i="27" s="1"/>
  <c r="AU14" i="27" s="1"/>
  <c r="T28" i="27"/>
  <c r="AM28" i="27" s="1"/>
  <c r="AU28" i="27" s="1"/>
  <c r="U28" i="27"/>
  <c r="T13" i="27"/>
  <c r="AM13" i="27" s="1"/>
  <c r="AU13" i="27" s="1"/>
  <c r="U13" i="27"/>
  <c r="T17" i="27"/>
  <c r="AM17" i="27" s="1"/>
  <c r="AU17" i="27" s="1"/>
  <c r="U17" i="27"/>
  <c r="T8" i="27"/>
  <c r="AK8" i="27" s="1"/>
  <c r="U8" i="27"/>
  <c r="U10" i="27"/>
  <c r="T10" i="27"/>
  <c r="AM10" i="27" s="1"/>
  <c r="AU10" i="27" s="1"/>
  <c r="M35" i="23"/>
  <c r="AB84" i="27" s="1"/>
  <c r="AE84" i="27" s="1"/>
  <c r="M36" i="23"/>
  <c r="AB85" i="27" s="1"/>
  <c r="AE85" i="27" s="1"/>
  <c r="M37" i="23"/>
  <c r="AB86" i="27" s="1"/>
  <c r="AE86" i="27" s="1"/>
  <c r="M38" i="23"/>
  <c r="AB87" i="27" s="1"/>
  <c r="AE87" i="27" s="1"/>
  <c r="M39" i="23"/>
  <c r="AB88" i="27" s="1"/>
  <c r="AE88" i="27" s="1"/>
  <c r="M40" i="23"/>
  <c r="AB89" i="27" s="1"/>
  <c r="AE89" i="27" s="1"/>
  <c r="M41" i="23"/>
  <c r="AB90" i="27" s="1"/>
  <c r="AE90" i="27" s="1"/>
  <c r="M42" i="23"/>
  <c r="AB91" i="27" s="1"/>
  <c r="AE91" i="27" s="1"/>
  <c r="M43" i="23"/>
  <c r="AB92" i="27" s="1"/>
  <c r="AE92" i="27" s="1"/>
  <c r="M44" i="23"/>
  <c r="AB93" i="27" s="1"/>
  <c r="AE93" i="27" s="1"/>
  <c r="AM8" i="27" l="1"/>
  <c r="AN8" i="27"/>
  <c r="AQ8" i="27" s="1"/>
  <c r="AU9" i="27"/>
  <c r="BA9" i="27"/>
  <c r="BA8" i="27"/>
  <c r="AM7" i="27"/>
  <c r="AN7" i="27"/>
  <c r="AQ7" i="27" s="1"/>
  <c r="AO19" i="27"/>
  <c r="AV19" i="27" s="1"/>
  <c r="AP19" i="27"/>
  <c r="AR19" i="27" s="1"/>
  <c r="AW19" i="27" s="1"/>
  <c r="AP28" i="27"/>
  <c r="AR28" i="27" s="1"/>
  <c r="AW28" i="27" s="1"/>
  <c r="AO28" i="27"/>
  <c r="AV28" i="27" s="1"/>
  <c r="AP20" i="27"/>
  <c r="AR20" i="27" s="1"/>
  <c r="AW20" i="27" s="1"/>
  <c r="AO20" i="27"/>
  <c r="AV20" i="27" s="1"/>
  <c r="AO14" i="27"/>
  <c r="AV14" i="27" s="1"/>
  <c r="AP14" i="27"/>
  <c r="AR14" i="27" s="1"/>
  <c r="AW14" i="27" s="1"/>
  <c r="AO16" i="27"/>
  <c r="AV16" i="27" s="1"/>
  <c r="AP16" i="27"/>
  <c r="AR16" i="27" s="1"/>
  <c r="AW16" i="27" s="1"/>
  <c r="AO11" i="27"/>
  <c r="AV11" i="27" s="1"/>
  <c r="AP11" i="27"/>
  <c r="AR11" i="27" s="1"/>
  <c r="AW11" i="27" s="1"/>
  <c r="AP15" i="27"/>
  <c r="AR15" i="27" s="1"/>
  <c r="AW15" i="27" s="1"/>
  <c r="AO15" i="27"/>
  <c r="AV15" i="27" s="1"/>
  <c r="AO25" i="27"/>
  <c r="AV25" i="27" s="1"/>
  <c r="AP25" i="27"/>
  <c r="AR25" i="27" s="1"/>
  <c r="AW25" i="27" s="1"/>
  <c r="AO29" i="27"/>
  <c r="AV29" i="27" s="1"/>
  <c r="AP29" i="27"/>
  <c r="AR29" i="27" s="1"/>
  <c r="AW29" i="27" s="1"/>
  <c r="AM27" i="27"/>
  <c r="AU27" i="27" s="1"/>
  <c r="AM26" i="27"/>
  <c r="AU26" i="27" s="1"/>
  <c r="AO17" i="27"/>
  <c r="AV17" i="27" s="1"/>
  <c r="AP17" i="27"/>
  <c r="AR17" i="27" s="1"/>
  <c r="AW17" i="27" s="1"/>
  <c r="AP22" i="27"/>
  <c r="AR22" i="27" s="1"/>
  <c r="AW22" i="27" s="1"/>
  <c r="AO22" i="27"/>
  <c r="AV22" i="27" s="1"/>
  <c r="AP30" i="27"/>
  <c r="AR30" i="27" s="1"/>
  <c r="AW30" i="27" s="1"/>
  <c r="AO30" i="27"/>
  <c r="AV30" i="27" s="1"/>
  <c r="AP12" i="27"/>
  <c r="AR12" i="27" s="1"/>
  <c r="AW12" i="27" s="1"/>
  <c r="AO12" i="27"/>
  <c r="AV12" i="27" s="1"/>
  <c r="AO21" i="27"/>
  <c r="AV21" i="27" s="1"/>
  <c r="AP21" i="27"/>
  <c r="AR21" i="27" s="1"/>
  <c r="AW21" i="27" s="1"/>
  <c r="AO9" i="27"/>
  <c r="AV9" i="27" s="1"/>
  <c r="AP9" i="27"/>
  <c r="AR9" i="27" s="1"/>
  <c r="AW9" i="27" s="1"/>
  <c r="AO24" i="27"/>
  <c r="AV24" i="27" s="1"/>
  <c r="AP24" i="27"/>
  <c r="AR24" i="27" s="1"/>
  <c r="AW24" i="27" s="1"/>
  <c r="AP10" i="27"/>
  <c r="AR10" i="27" s="1"/>
  <c r="AW10" i="27" s="1"/>
  <c r="AO10" i="27"/>
  <c r="AV10" i="27" s="1"/>
  <c r="AO13" i="27"/>
  <c r="AV13" i="27" s="1"/>
  <c r="AP13" i="27"/>
  <c r="AR13" i="27" s="1"/>
  <c r="AW13" i="27" s="1"/>
  <c r="AP23" i="27"/>
  <c r="AR23" i="27" s="1"/>
  <c r="AW23" i="27" s="1"/>
  <c r="AO23" i="27"/>
  <c r="AV23" i="27" s="1"/>
  <c r="AP18" i="27"/>
  <c r="AR18" i="27" s="1"/>
  <c r="AW18" i="27" s="1"/>
  <c r="AO18" i="27"/>
  <c r="AV18" i="27" s="1"/>
  <c r="AW59" i="27"/>
  <c r="AX59" i="27" s="1"/>
  <c r="AY59" i="27"/>
  <c r="BB59" i="27" s="1"/>
  <c r="BA42" i="27"/>
  <c r="BC42" i="27" s="1"/>
  <c r="AZ42" i="27"/>
  <c r="AY41" i="27"/>
  <c r="AZ41" i="27" s="1"/>
  <c r="AY40" i="27"/>
  <c r="BB40" i="27" s="1"/>
  <c r="BA40" i="27"/>
  <c r="BA39" i="27"/>
  <c r="AY39" i="27"/>
  <c r="AZ39" i="27" s="1"/>
  <c r="BA60" i="27"/>
  <c r="BC60" i="27" s="1"/>
  <c r="AZ60" i="27"/>
  <c r="BA38" i="27"/>
  <c r="BC38" i="27" s="1"/>
  <c r="AZ38" i="27"/>
  <c r="AZ61" i="27"/>
  <c r="BA61" i="27"/>
  <c r="BC61" i="27" s="1"/>
  <c r="M28" i="23"/>
  <c r="AK77" i="27" s="1"/>
  <c r="M27" i="23"/>
  <c r="AK76" i="27" s="1"/>
  <c r="M26" i="23"/>
  <c r="AK75" i="27" s="1"/>
  <c r="M25" i="23"/>
  <c r="AK74" i="27" s="1"/>
  <c r="M24" i="23"/>
  <c r="AK73" i="27" s="1"/>
  <c r="M23" i="23"/>
  <c r="AK72" i="27" s="1"/>
  <c r="M22" i="23"/>
  <c r="AK71" i="27" s="1"/>
  <c r="M21" i="23"/>
  <c r="AK70" i="27" s="1"/>
  <c r="M20" i="23"/>
  <c r="AK69" i="27" s="1"/>
  <c r="AN69" i="27" s="1"/>
  <c r="M19" i="23"/>
  <c r="AK68" i="27" s="1"/>
  <c r="AN68" i="27" s="1"/>
  <c r="AO8" i="27" l="1"/>
  <c r="AV8" i="27" s="1"/>
  <c r="AP8" i="27"/>
  <c r="AR8" i="27" s="1"/>
  <c r="AW8" i="27" s="1"/>
  <c r="AU8" i="27"/>
  <c r="AU7" i="27"/>
  <c r="BA7" i="27"/>
  <c r="AP7" i="27"/>
  <c r="AR7" i="27" s="1"/>
  <c r="AW7" i="27" s="1"/>
  <c r="AO7" i="27"/>
  <c r="AV7" i="27" s="1"/>
  <c r="AZ59" i="27"/>
  <c r="BA59" i="27"/>
  <c r="AO27" i="27"/>
  <c r="AV27" i="27" s="1"/>
  <c r="AP27" i="27"/>
  <c r="AR27" i="27" s="1"/>
  <c r="AW27" i="27" s="1"/>
  <c r="AP26" i="27"/>
  <c r="AR26" i="27" s="1"/>
  <c r="AW26" i="27" s="1"/>
  <c r="AO26" i="27"/>
  <c r="AV26" i="27" s="1"/>
  <c r="BC59" i="27"/>
  <c r="BB41" i="27"/>
  <c r="BC41" i="27" s="1"/>
  <c r="AZ40" i="27"/>
  <c r="BC40" i="27"/>
  <c r="BB39" i="27"/>
  <c r="BC39" i="27" s="1"/>
  <c r="M34" i="23"/>
  <c r="M18" i="23" l="1"/>
  <c r="P16" i="2"/>
  <c r="AY6" i="27" l="1"/>
  <c r="E67" i="9"/>
  <c r="D67" i="9"/>
  <c r="B2" i="23" l="1"/>
  <c r="AG68" i="23"/>
  <c r="C68" i="23"/>
  <c r="C12" i="23"/>
  <c r="F11" i="23"/>
  <c r="C11" i="23"/>
  <c r="F10" i="23"/>
  <c r="C10" i="23"/>
  <c r="F9" i="23"/>
  <c r="C9" i="23"/>
  <c r="F8" i="23"/>
  <c r="C8" i="23"/>
  <c r="C7" i="23"/>
  <c r="J63" i="9" l="1"/>
  <c r="F63" i="9" s="1"/>
  <c r="E63" i="9"/>
  <c r="I63" i="9"/>
  <c r="D63" i="9"/>
  <c r="H63" i="9"/>
  <c r="J62" i="9"/>
  <c r="F62" i="9" s="1"/>
  <c r="I62" i="9"/>
  <c r="D62" i="9"/>
  <c r="E62" i="9"/>
  <c r="B2" i="2" l="1"/>
  <c r="C52" i="20" l="1"/>
  <c r="C42" i="2"/>
  <c r="J121" i="14" l="1"/>
  <c r="C3" i="20" l="1"/>
  <c r="K63" i="9" l="1"/>
  <c r="K62" i="9"/>
  <c r="H64" i="9"/>
  <c r="K64" i="9"/>
  <c r="J64" i="9"/>
  <c r="F64" i="9" s="1"/>
  <c r="E64" i="9"/>
  <c r="I64" i="9"/>
  <c r="D64" i="9"/>
  <c r="AF8" i="20" l="1"/>
  <c r="B15" i="20" s="1"/>
  <c r="AC52" i="20" l="1"/>
  <c r="Q43" i="20"/>
  <c r="Q42" i="20"/>
  <c r="Q41" i="20"/>
  <c r="Q40" i="20"/>
  <c r="Q39" i="20"/>
  <c r="Q38" i="20"/>
  <c r="Q37" i="20"/>
  <c r="Q36" i="20"/>
  <c r="Q35" i="20"/>
  <c r="Q34" i="20"/>
  <c r="Q33" i="20"/>
  <c r="Q32" i="20"/>
  <c r="Q31" i="20"/>
  <c r="Q30" i="20"/>
  <c r="Q29" i="20"/>
  <c r="Q28" i="20"/>
  <c r="Q27" i="20"/>
  <c r="Q26" i="20"/>
  <c r="Q25" i="20"/>
  <c r="Q24" i="20"/>
  <c r="Q23" i="20"/>
  <c r="Q22" i="20"/>
  <c r="Q21" i="20"/>
  <c r="Q20" i="20"/>
  <c r="Q19" i="20"/>
  <c r="BE48" i="27" l="1"/>
  <c r="AC30" i="20"/>
  <c r="BE55" i="27"/>
  <c r="AC37" i="20"/>
  <c r="AC23" i="20"/>
  <c r="BE41" i="27"/>
  <c r="BE58" i="27"/>
  <c r="AC40" i="20"/>
  <c r="BE39" i="27"/>
  <c r="AC21" i="20"/>
  <c r="BE56" i="27"/>
  <c r="AC38" i="20"/>
  <c r="AC39" i="20"/>
  <c r="BE57" i="27"/>
  <c r="BE43" i="27"/>
  <c r="AC25" i="20"/>
  <c r="BE47" i="27"/>
  <c r="AC29" i="20"/>
  <c r="BE40" i="27"/>
  <c r="AC22" i="20"/>
  <c r="BE49" i="27"/>
  <c r="AC31" i="20"/>
  <c r="BE42" i="27"/>
  <c r="AC24" i="20"/>
  <c r="BE50" i="27"/>
  <c r="AC32" i="20"/>
  <c r="BE51" i="27"/>
  <c r="AC33" i="20"/>
  <c r="BE59" i="27"/>
  <c r="AC41" i="20"/>
  <c r="AC26" i="20"/>
  <c r="BE44" i="27"/>
  <c r="AC34" i="20"/>
  <c r="BE52" i="27"/>
  <c r="AC42" i="20"/>
  <c r="BE60" i="27"/>
  <c r="BE45" i="27"/>
  <c r="AC27" i="20"/>
  <c r="AC35" i="20"/>
  <c r="BE53" i="27"/>
  <c r="AC20" i="20"/>
  <c r="BE38" i="27"/>
  <c r="AC28" i="20"/>
  <c r="BE46" i="27"/>
  <c r="AC36" i="20"/>
  <c r="BE54" i="27"/>
  <c r="AC43" i="20"/>
  <c r="BE61" i="27"/>
  <c r="BE37" i="27"/>
  <c r="AD24" i="20"/>
  <c r="AD28" i="20"/>
  <c r="AD30" i="20"/>
  <c r="AD32" i="20"/>
  <c r="AD34" i="20"/>
  <c r="AD36" i="20"/>
  <c r="AD38" i="20"/>
  <c r="AD40" i="20"/>
  <c r="AD27" i="20"/>
  <c r="AD23" i="20"/>
  <c r="AD25" i="20"/>
  <c r="AD26" i="20"/>
  <c r="AD29" i="20"/>
  <c r="AD31" i="20"/>
  <c r="AD33" i="20"/>
  <c r="AD35" i="20"/>
  <c r="AD37" i="20"/>
  <c r="AD43" i="20"/>
  <c r="AD39" i="20" l="1"/>
  <c r="AG21" i="20" l="1"/>
  <c r="AG28" i="20"/>
  <c r="AG22" i="20"/>
  <c r="AG32" i="20"/>
  <c r="AG26" i="20"/>
  <c r="AG20" i="20"/>
  <c r="AG30" i="20"/>
  <c r="AG24" i="20"/>
  <c r="AG35" i="20"/>
  <c r="AG40" i="20"/>
  <c r="AG41" i="20"/>
  <c r="AG36" i="20"/>
  <c r="AG23" i="20"/>
  <c r="AG39" i="20"/>
  <c r="AG27" i="20"/>
  <c r="AG33" i="20"/>
  <c r="AG37" i="20"/>
  <c r="AG38" i="20"/>
  <c r="AG42" i="20"/>
  <c r="AG43" i="20"/>
  <c r="AG34" i="20"/>
  <c r="AG31" i="20"/>
  <c r="AG29" i="20"/>
  <c r="AG25" i="20"/>
  <c r="AD41" i="20" l="1"/>
  <c r="AD42" i="20"/>
  <c r="AD20" i="20" l="1"/>
  <c r="AD21" i="20" l="1"/>
  <c r="AD22" i="20" l="1"/>
  <c r="G59" i="18" l="1"/>
  <c r="A1" i="18"/>
  <c r="L57" i="17"/>
  <c r="A1" i="17"/>
  <c r="K79" i="16"/>
  <c r="A1" i="16"/>
  <c r="F10" i="2"/>
  <c r="F9" i="2"/>
  <c r="F8" i="2"/>
  <c r="F7" i="2"/>
  <c r="C11" i="2"/>
  <c r="C10" i="2"/>
  <c r="C9" i="2"/>
  <c r="C8" i="2"/>
  <c r="C7" i="2"/>
  <c r="C6" i="2"/>
  <c r="A1" i="15"/>
  <c r="L50" i="15"/>
  <c r="I2" i="10"/>
  <c r="J2" i="10"/>
  <c r="I3" i="10"/>
  <c r="J3" i="10"/>
  <c r="I4" i="10"/>
  <c r="J4" i="10"/>
  <c r="I5" i="10"/>
  <c r="J5" i="10"/>
  <c r="I6" i="10"/>
  <c r="J6" i="10"/>
  <c r="I7" i="10"/>
  <c r="J7" i="10"/>
  <c r="I8" i="10"/>
  <c r="J8" i="10"/>
  <c r="I9" i="10"/>
  <c r="J9" i="10"/>
  <c r="I10" i="10"/>
  <c r="J10" i="10"/>
  <c r="I11" i="10"/>
  <c r="J11" i="10"/>
  <c r="I29" i="10"/>
  <c r="I30" i="10"/>
  <c r="I31" i="10"/>
  <c r="I32" i="10"/>
  <c r="I33" i="10"/>
  <c r="I34" i="10"/>
  <c r="I35" i="10"/>
  <c r="I36" i="10"/>
  <c r="I37" i="10"/>
  <c r="I40" i="10"/>
  <c r="J40" i="10"/>
  <c r="I41" i="10"/>
  <c r="J41" i="10"/>
  <c r="I42" i="10"/>
  <c r="J42" i="10"/>
  <c r="I43" i="10"/>
  <c r="J43" i="10"/>
  <c r="I44" i="10"/>
  <c r="J44" i="10"/>
  <c r="I45" i="10"/>
  <c r="J45" i="10"/>
  <c r="I46" i="10"/>
  <c r="J46" i="10"/>
  <c r="I47" i="10"/>
  <c r="J47" i="10"/>
  <c r="D121" i="14"/>
  <c r="C4" i="2"/>
  <c r="P17" i="2"/>
  <c r="AB17" i="2" s="1"/>
  <c r="P18" i="2"/>
  <c r="P19" i="2"/>
  <c r="P20" i="2"/>
  <c r="P21" i="2"/>
  <c r="P22" i="2"/>
  <c r="P23" i="2"/>
  <c r="P24" i="2"/>
  <c r="P25" i="2"/>
  <c r="AY15" i="27" s="1"/>
  <c r="P26" i="2"/>
  <c r="P27" i="2"/>
  <c r="P28" i="2"/>
  <c r="AY18" i="27" s="1"/>
  <c r="P29" i="2"/>
  <c r="AY19" i="27" s="1"/>
  <c r="P30" i="2"/>
  <c r="AY20" i="27" s="1"/>
  <c r="P31" i="2"/>
  <c r="AY21" i="27" s="1"/>
  <c r="P32" i="2"/>
  <c r="AY22" i="27" s="1"/>
  <c r="P33" i="2"/>
  <c r="AY23" i="27" s="1"/>
  <c r="P34" i="2"/>
  <c r="AY24" i="27" s="1"/>
  <c r="P35" i="2"/>
  <c r="AY25" i="27" s="1"/>
  <c r="P36" i="2"/>
  <c r="AY26" i="27" s="1"/>
  <c r="P37" i="2"/>
  <c r="AY27" i="27" s="1"/>
  <c r="P38" i="2"/>
  <c r="AY28" i="27" s="1"/>
  <c r="P39" i="2"/>
  <c r="P40" i="2"/>
  <c r="AY30" i="27" s="1"/>
  <c r="AB42" i="2"/>
  <c r="A1" i="1"/>
  <c r="AY9" i="27" l="1"/>
  <c r="AB19" i="2"/>
  <c r="AY8" i="27"/>
  <c r="AB18" i="2"/>
  <c r="AY17" i="27"/>
  <c r="AY16" i="27"/>
  <c r="AY14" i="27"/>
  <c r="AY7" i="27"/>
  <c r="AY29" i="27"/>
  <c r="AY13" i="27"/>
  <c r="AY10" i="27"/>
  <c r="AY12" i="27"/>
  <c r="AY11" i="27"/>
  <c r="C5" i="9"/>
  <c r="C4" i="9"/>
  <c r="AG19" i="20" l="1"/>
  <c r="AD19" i="20" l="1"/>
  <c r="AC6" i="27" l="1"/>
  <c r="E6" i="27"/>
  <c r="AE6" i="27"/>
  <c r="AF6" i="27" l="1"/>
  <c r="AA16" i="2" l="1"/>
  <c r="AL6" i="27"/>
  <c r="AJ6" i="27"/>
  <c r="AT6" i="27" s="1"/>
  <c r="AG6" i="27"/>
  <c r="AZ6" i="27"/>
  <c r="V37" i="27"/>
  <c r="AE37" i="27" s="1"/>
  <c r="I47" i="9" l="1"/>
  <c r="E47" i="9" s="1"/>
  <c r="I48" i="9"/>
  <c r="E48" i="9" s="1"/>
  <c r="C27" i="9"/>
  <c r="C42" i="9"/>
  <c r="C24" i="9"/>
  <c r="C33" i="9"/>
  <c r="K14" i="9"/>
  <c r="C47" i="9"/>
  <c r="K40" i="9"/>
  <c r="K24" i="9"/>
  <c r="K27" i="9"/>
  <c r="K23" i="9"/>
  <c r="K18" i="9"/>
  <c r="K44" i="9"/>
  <c r="K28" i="9"/>
  <c r="K39" i="9"/>
  <c r="C45" i="9"/>
  <c r="J8" i="9"/>
  <c r="F8" i="9" s="1"/>
  <c r="K33" i="9"/>
  <c r="C8" i="9"/>
  <c r="C49" i="9"/>
  <c r="C48" i="9"/>
  <c r="K16" i="9"/>
  <c r="K26" i="9"/>
  <c r="K31" i="9"/>
  <c r="C37" i="9"/>
  <c r="C34" i="9"/>
  <c r="K25" i="9"/>
  <c r="C44" i="9"/>
  <c r="C41" i="9"/>
  <c r="C23" i="9"/>
  <c r="C46" i="9"/>
  <c r="K12" i="9"/>
  <c r="K38" i="9"/>
  <c r="K20" i="9"/>
  <c r="K21" i="9"/>
  <c r="C15" i="9"/>
  <c r="C21" i="9"/>
  <c r="K17" i="9"/>
  <c r="C28" i="9"/>
  <c r="C43" i="9"/>
  <c r="C18" i="9"/>
  <c r="C36" i="9"/>
  <c r="C26" i="9"/>
  <c r="I9" i="9"/>
  <c r="E9" i="9" s="1"/>
  <c r="K10" i="9"/>
  <c r="K36" i="9"/>
  <c r="C10" i="9"/>
  <c r="C25" i="9"/>
  <c r="C13" i="9"/>
  <c r="K11" i="9"/>
  <c r="H9" i="9"/>
  <c r="D9" i="9" s="1"/>
  <c r="C20" i="9"/>
  <c r="I13" i="9"/>
  <c r="E13" i="9" s="1"/>
  <c r="H16" i="9"/>
  <c r="J18" i="9"/>
  <c r="F18" i="9" s="1"/>
  <c r="I21" i="9"/>
  <c r="E21" i="9" s="1"/>
  <c r="H24" i="9"/>
  <c r="D24" i="9" s="1"/>
  <c r="J26" i="9"/>
  <c r="F26" i="9" s="1"/>
  <c r="I29" i="9"/>
  <c r="E29" i="9" s="1"/>
  <c r="H32" i="9"/>
  <c r="D32" i="9" s="1"/>
  <c r="I37" i="9"/>
  <c r="E37" i="9" s="1"/>
  <c r="H40" i="9"/>
  <c r="D40" i="9" s="1"/>
  <c r="H10" i="9"/>
  <c r="D10" i="9" s="1"/>
  <c r="H11" i="9"/>
  <c r="J13" i="9"/>
  <c r="F13" i="9" s="1"/>
  <c r="I16" i="9"/>
  <c r="H19" i="9"/>
  <c r="D19" i="9" s="1"/>
  <c r="J21" i="9"/>
  <c r="F21" i="9" s="1"/>
  <c r="I24" i="9"/>
  <c r="E24" i="9" s="1"/>
  <c r="H27" i="9"/>
  <c r="D27" i="9" s="1"/>
  <c r="J29" i="9"/>
  <c r="F29" i="9" s="1"/>
  <c r="I32" i="9"/>
  <c r="E32" i="9" s="1"/>
  <c r="H35" i="9"/>
  <c r="D35" i="9" s="1"/>
  <c r="J37" i="9"/>
  <c r="F37" i="9" s="1"/>
  <c r="I40" i="9"/>
  <c r="E40" i="9" s="1"/>
  <c r="H43" i="9"/>
  <c r="D43" i="9" s="1"/>
  <c r="J45" i="9"/>
  <c r="F45" i="9" s="1"/>
  <c r="J16" i="9"/>
  <c r="H22" i="9"/>
  <c r="D22" i="9" s="1"/>
  <c r="I27" i="9"/>
  <c r="E27" i="9" s="1"/>
  <c r="H30" i="9"/>
  <c r="D30" i="9" s="1"/>
  <c r="I35" i="9"/>
  <c r="E35" i="9" s="1"/>
  <c r="H38" i="9"/>
  <c r="D38" i="9" s="1"/>
  <c r="I43" i="9"/>
  <c r="E43" i="9" s="1"/>
  <c r="J48" i="9"/>
  <c r="F48" i="9" s="1"/>
  <c r="H29" i="9"/>
  <c r="D29" i="9" s="1"/>
  <c r="J47" i="9"/>
  <c r="F47" i="9" s="1"/>
  <c r="I11" i="9"/>
  <c r="E11" i="9" s="1"/>
  <c r="H14" i="9"/>
  <c r="D14" i="9" s="1"/>
  <c r="J24" i="9"/>
  <c r="F24" i="9" s="1"/>
  <c r="J32" i="9"/>
  <c r="F32" i="9" s="1"/>
  <c r="J40" i="9"/>
  <c r="F40" i="9" s="1"/>
  <c r="H46" i="9"/>
  <c r="D46" i="9" s="1"/>
  <c r="H37" i="9"/>
  <c r="D37" i="9" s="1"/>
  <c r="J11" i="9"/>
  <c r="F11" i="9" s="1"/>
  <c r="I14" i="9"/>
  <c r="E14" i="9" s="1"/>
  <c r="H17" i="9"/>
  <c r="D17" i="9" s="1"/>
  <c r="I22" i="9"/>
  <c r="E22" i="9" s="1"/>
  <c r="H25" i="9"/>
  <c r="D25" i="9" s="1"/>
  <c r="J27" i="9"/>
  <c r="F27" i="9" s="1"/>
  <c r="I30" i="9"/>
  <c r="E30" i="9" s="1"/>
  <c r="H33" i="9"/>
  <c r="D33" i="9" s="1"/>
  <c r="J35" i="9"/>
  <c r="F35" i="9" s="1"/>
  <c r="I38" i="9"/>
  <c r="E38" i="9" s="1"/>
  <c r="H41" i="9"/>
  <c r="D41" i="9" s="1"/>
  <c r="J43" i="9"/>
  <c r="F43" i="9" s="1"/>
  <c r="I46" i="9"/>
  <c r="E46" i="9" s="1"/>
  <c r="H49" i="9"/>
  <c r="D49" i="9" s="1"/>
  <c r="H18" i="9"/>
  <c r="D18" i="9" s="1"/>
  <c r="J28" i="9"/>
  <c r="F28" i="9" s="1"/>
  <c r="J36" i="9"/>
  <c r="F36" i="9" s="1"/>
  <c r="J44" i="9"/>
  <c r="F44" i="9" s="1"/>
  <c r="H13" i="9"/>
  <c r="D13" i="9" s="1"/>
  <c r="H21" i="9"/>
  <c r="D21" i="9" s="1"/>
  <c r="I26" i="9"/>
  <c r="E26" i="9" s="1"/>
  <c r="J39" i="9"/>
  <c r="F39" i="9" s="1"/>
  <c r="I10" i="9"/>
  <c r="E10" i="9" s="1"/>
  <c r="H48" i="9"/>
  <c r="D48" i="9" s="1"/>
  <c r="H12" i="9"/>
  <c r="D12" i="9" s="1"/>
  <c r="J14" i="9"/>
  <c r="F14" i="9" s="1"/>
  <c r="I17" i="9"/>
  <c r="E17" i="9" s="1"/>
  <c r="H20" i="9"/>
  <c r="D20" i="9" s="1"/>
  <c r="J22" i="9"/>
  <c r="F22" i="9" s="1"/>
  <c r="I25" i="9"/>
  <c r="E25" i="9" s="1"/>
  <c r="H28" i="9"/>
  <c r="D28" i="9" s="1"/>
  <c r="J30" i="9"/>
  <c r="F30" i="9" s="1"/>
  <c r="I33" i="9"/>
  <c r="E33" i="9" s="1"/>
  <c r="H36" i="9"/>
  <c r="D36" i="9" s="1"/>
  <c r="J38" i="9"/>
  <c r="F38" i="9" s="1"/>
  <c r="I41" i="9"/>
  <c r="E41" i="9" s="1"/>
  <c r="H44" i="9"/>
  <c r="D44" i="9" s="1"/>
  <c r="J46" i="9"/>
  <c r="F46" i="9" s="1"/>
  <c r="I15" i="9"/>
  <c r="E15" i="9" s="1"/>
  <c r="J20" i="9"/>
  <c r="F20" i="9" s="1"/>
  <c r="H26" i="9"/>
  <c r="D26" i="9" s="1"/>
  <c r="H34" i="9"/>
  <c r="D34" i="9" s="1"/>
  <c r="H42" i="9"/>
  <c r="D42" i="9" s="1"/>
  <c r="J10" i="9"/>
  <c r="F10" i="9" s="1"/>
  <c r="I18" i="9"/>
  <c r="E18" i="9" s="1"/>
  <c r="I45" i="9"/>
  <c r="E45" i="9" s="1"/>
  <c r="I12" i="9"/>
  <c r="E12" i="9" s="1"/>
  <c r="H15" i="9"/>
  <c r="D15" i="9" s="1"/>
  <c r="J17" i="9"/>
  <c r="F17" i="9" s="1"/>
  <c r="I20" i="9"/>
  <c r="E20" i="9" s="1"/>
  <c r="H23" i="9"/>
  <c r="D23" i="9" s="1"/>
  <c r="J25" i="9"/>
  <c r="F25" i="9" s="1"/>
  <c r="I28" i="9"/>
  <c r="E28" i="9" s="1"/>
  <c r="H31" i="9"/>
  <c r="D31" i="9" s="1"/>
  <c r="J33" i="9"/>
  <c r="F33" i="9" s="1"/>
  <c r="I36" i="9"/>
  <c r="E36" i="9" s="1"/>
  <c r="H39" i="9"/>
  <c r="D39" i="9" s="1"/>
  <c r="J41" i="9"/>
  <c r="F41" i="9" s="1"/>
  <c r="I44" i="9"/>
  <c r="E44" i="9" s="1"/>
  <c r="H47" i="9"/>
  <c r="D47" i="9" s="1"/>
  <c r="J12" i="9"/>
  <c r="F12" i="9" s="1"/>
  <c r="I23" i="9"/>
  <c r="E23" i="9" s="1"/>
  <c r="I31" i="9"/>
  <c r="E31" i="9" s="1"/>
  <c r="I39" i="9"/>
  <c r="E39" i="9" s="1"/>
  <c r="J15" i="9"/>
  <c r="F15" i="9" s="1"/>
  <c r="J23" i="9"/>
  <c r="F23" i="9" s="1"/>
  <c r="J31" i="9"/>
  <c r="F31" i="9" s="1"/>
  <c r="H45" i="9"/>
  <c r="D45" i="9" s="1"/>
  <c r="C38" i="9"/>
  <c r="K43" i="9"/>
  <c r="C30" i="9"/>
  <c r="K8" i="9"/>
  <c r="K15" i="9"/>
  <c r="K47" i="9"/>
  <c r="C32" i="9"/>
  <c r="C12" i="9"/>
  <c r="C22" i="9"/>
  <c r="K48" i="9"/>
  <c r="K32" i="9"/>
  <c r="K9" i="9"/>
  <c r="K41" i="9"/>
  <c r="C16" i="9"/>
  <c r="H8" i="9"/>
  <c r="D8" i="9" s="1"/>
  <c r="C29" i="9"/>
  <c r="C31" i="9"/>
  <c r="C17" i="9"/>
  <c r="K37" i="9"/>
  <c r="B6" i="27"/>
  <c r="T6" i="27" s="1"/>
  <c r="AK6" i="27" s="1"/>
  <c r="K29" i="9"/>
  <c r="C39" i="9"/>
  <c r="C14" i="9"/>
  <c r="K46" i="9"/>
  <c r="K30" i="9"/>
  <c r="K45" i="9"/>
  <c r="K35" i="9"/>
  <c r="C35" i="9"/>
  <c r="D11" i="9"/>
  <c r="C19" i="9"/>
  <c r="C40" i="9"/>
  <c r="C11" i="9"/>
  <c r="C9" i="9"/>
  <c r="I8" i="9"/>
  <c r="E8" i="9" s="1"/>
  <c r="J9" i="9"/>
  <c r="F9" i="9" s="1"/>
  <c r="C50" i="9"/>
  <c r="H50" i="9" s="1"/>
  <c r="D50" i="9" s="1"/>
  <c r="BF37" i="27"/>
  <c r="BG37" i="27" s="1"/>
  <c r="C58" i="9"/>
  <c r="C60" i="9"/>
  <c r="C53" i="9"/>
  <c r="C61" i="9"/>
  <c r="C59" i="9"/>
  <c r="C55" i="9"/>
  <c r="C56" i="9"/>
  <c r="C57" i="9"/>
  <c r="C52" i="9"/>
  <c r="C54" i="9"/>
  <c r="C51" i="9"/>
  <c r="AW37" i="27"/>
  <c r="AG37" i="27"/>
  <c r="B37" i="27"/>
  <c r="D16" i="9" l="1"/>
  <c r="F16" i="9"/>
  <c r="E16" i="9"/>
  <c r="AM6" i="27"/>
  <c r="U6" i="27"/>
  <c r="C69" i="9"/>
  <c r="H69" i="9" s="1"/>
  <c r="J50" i="9"/>
  <c r="F50" i="9" s="1"/>
  <c r="K50" i="9"/>
  <c r="I50" i="9"/>
  <c r="E50" i="9" s="1"/>
  <c r="K22" i="9"/>
  <c r="C70" i="9"/>
  <c r="I56" i="9"/>
  <c r="E56" i="9" s="1"/>
  <c r="J56" i="9"/>
  <c r="F56" i="9" s="1"/>
  <c r="K56" i="9"/>
  <c r="H56" i="9"/>
  <c r="D56" i="9" s="1"/>
  <c r="H59" i="9"/>
  <c r="D59" i="9" s="1"/>
  <c r="I59" i="9"/>
  <c r="E59" i="9" s="1"/>
  <c r="J59" i="9"/>
  <c r="F59" i="9" s="1"/>
  <c r="K59" i="9"/>
  <c r="H55" i="9"/>
  <c r="D55" i="9" s="1"/>
  <c r="I55" i="9"/>
  <c r="E55" i="9" s="1"/>
  <c r="J55" i="9"/>
  <c r="F55" i="9" s="1"/>
  <c r="K55" i="9"/>
  <c r="H61" i="9"/>
  <c r="D61" i="9" s="1"/>
  <c r="K61" i="9"/>
  <c r="H57" i="9"/>
  <c r="D57" i="9" s="1"/>
  <c r="I57" i="9"/>
  <c r="E57" i="9" s="1"/>
  <c r="J57" i="9"/>
  <c r="F57" i="9" s="1"/>
  <c r="K57" i="9"/>
  <c r="J51" i="9"/>
  <c r="F51" i="9" s="1"/>
  <c r="I51" i="9"/>
  <c r="E51" i="9" s="1"/>
  <c r="H51" i="9"/>
  <c r="D51" i="9" s="1"/>
  <c r="K51" i="9"/>
  <c r="K53" i="9"/>
  <c r="I54" i="9"/>
  <c r="E54" i="9" s="1"/>
  <c r="J54" i="9"/>
  <c r="F54" i="9" s="1"/>
  <c r="K54" i="9"/>
  <c r="H54" i="9"/>
  <c r="D54" i="9" s="1"/>
  <c r="I60" i="9"/>
  <c r="E60" i="9" s="1"/>
  <c r="J60" i="9"/>
  <c r="F60" i="9" s="1"/>
  <c r="K60" i="9"/>
  <c r="H60" i="9"/>
  <c r="D60" i="9" s="1"/>
  <c r="K52" i="9"/>
  <c r="I58" i="9"/>
  <c r="J58" i="9"/>
  <c r="F58" i="9" s="1"/>
  <c r="K58" i="9"/>
  <c r="H58" i="9"/>
  <c r="D58" i="9" s="1"/>
  <c r="T37" i="27"/>
  <c r="S37" i="27"/>
  <c r="BH37" i="27"/>
  <c r="AC19" i="20"/>
  <c r="AO37" i="27"/>
  <c r="AU37" i="27" s="1"/>
  <c r="AC9" i="20" s="1"/>
  <c r="AI37" i="27"/>
  <c r="AN37" i="27"/>
  <c r="AP37" i="27"/>
  <c r="AL37" i="27"/>
  <c r="AK37" i="27"/>
  <c r="AH37" i="27"/>
  <c r="AJ37" i="27"/>
  <c r="AM37" i="27"/>
  <c r="AR37" i="27" s="1"/>
  <c r="K13" i="9"/>
  <c r="AU6" i="27" l="1"/>
  <c r="I49" i="9" s="1"/>
  <c r="BA6" i="27"/>
  <c r="AB16" i="2" s="1"/>
  <c r="AB9" i="2" s="1"/>
  <c r="AP6" i="27"/>
  <c r="AN6" i="27"/>
  <c r="AQ6" i="27" s="1"/>
  <c r="D69" i="9"/>
  <c r="AB6" i="2"/>
  <c r="H53" i="9"/>
  <c r="D53" i="9" s="1"/>
  <c r="K70" i="9"/>
  <c r="H52" i="9"/>
  <c r="D52" i="9" s="1"/>
  <c r="E58" i="9"/>
  <c r="AS37" i="27"/>
  <c r="AY37" i="27" s="1"/>
  <c r="BB37" i="27" s="1"/>
  <c r="AC13" i="20"/>
  <c r="AC12" i="20"/>
  <c r="AQ37" i="27"/>
  <c r="AV37" i="27" s="1"/>
  <c r="AX37" i="27" s="1"/>
  <c r="I61" i="9" s="1"/>
  <c r="E61" i="9" s="1"/>
  <c r="K42" i="9" l="1"/>
  <c r="K34" i="9"/>
  <c r="AO6" i="27"/>
  <c r="AV6" i="27" s="1"/>
  <c r="AR6" i="27"/>
  <c r="AW6" i="27" s="1"/>
  <c r="K19" i="9"/>
  <c r="K49" i="9"/>
  <c r="BB6" i="27"/>
  <c r="I52" i="9"/>
  <c r="E52" i="9" s="1"/>
  <c r="I53" i="9"/>
  <c r="E53" i="9" s="1"/>
  <c r="H70" i="9"/>
  <c r="D70" i="9" s="1"/>
  <c r="AF11" i="20"/>
  <c r="BA37" i="27"/>
  <c r="BC37" i="27" s="1"/>
  <c r="AZ37" i="27"/>
  <c r="AC10" i="20" s="1"/>
  <c r="AC40" i="2"/>
  <c r="AD40" i="2" s="1"/>
  <c r="AC38" i="2"/>
  <c r="AD38" i="2" s="1"/>
  <c r="AC30" i="2"/>
  <c r="AD30" i="2" s="1"/>
  <c r="AC34" i="2"/>
  <c r="AD34" i="2" s="1"/>
  <c r="AC32" i="2"/>
  <c r="AD32" i="2" s="1"/>
  <c r="AC29" i="2"/>
  <c r="AD29" i="2" s="1"/>
  <c r="AC35" i="2"/>
  <c r="AD35" i="2" s="1"/>
  <c r="AC24" i="2"/>
  <c r="AD24" i="2" s="1"/>
  <c r="AC26" i="2"/>
  <c r="AD26" i="2" s="1"/>
  <c r="AC31" i="2"/>
  <c r="AD31" i="2" s="1"/>
  <c r="AC36" i="2"/>
  <c r="AD36" i="2" s="1"/>
  <c r="AC27" i="2"/>
  <c r="AD27" i="2" s="1"/>
  <c r="AC33" i="2"/>
  <c r="AD33" i="2" s="1"/>
  <c r="AC28" i="2"/>
  <c r="AD28" i="2" s="1"/>
  <c r="AC25" i="2"/>
  <c r="AD25" i="2" s="1"/>
  <c r="AC39" i="2"/>
  <c r="AD39" i="2" s="1"/>
  <c r="AC37" i="2"/>
  <c r="AD37" i="2" s="1"/>
  <c r="AC22" i="2"/>
  <c r="AD22" i="2" s="1"/>
  <c r="AC21" i="2"/>
  <c r="AD21" i="2" s="1"/>
  <c r="AC20" i="2"/>
  <c r="AD20" i="2" s="1"/>
  <c r="AC23" i="2"/>
  <c r="AD23" i="2" s="1"/>
  <c r="J53" i="9" l="1"/>
  <c r="F53" i="9" s="1"/>
  <c r="J61" i="9"/>
  <c r="F61" i="9" s="1"/>
  <c r="J42" i="9"/>
  <c r="F42" i="9" s="1"/>
  <c r="J34" i="9"/>
  <c r="F34" i="9" s="1"/>
  <c r="I42" i="9"/>
  <c r="E42" i="9" s="1"/>
  <c r="I34" i="9"/>
  <c r="E34" i="9" s="1"/>
  <c r="AB10" i="2"/>
  <c r="AD10" i="2" s="1"/>
  <c r="AC19" i="2" s="1"/>
  <c r="AD19" i="2" s="1"/>
  <c r="K69" i="9"/>
  <c r="J19" i="9"/>
  <c r="F19" i="9" s="1"/>
  <c r="J49" i="9"/>
  <c r="F49" i="9" s="1"/>
  <c r="I19" i="9"/>
  <c r="E49" i="9"/>
  <c r="AE40" i="20"/>
  <c r="AF40" i="20" s="1"/>
  <c r="AE25" i="20"/>
  <c r="AF25" i="20" s="1"/>
  <c r="AE39" i="20"/>
  <c r="AF39" i="20" s="1"/>
  <c r="AE33" i="20"/>
  <c r="AF33" i="20" s="1"/>
  <c r="AE34" i="20"/>
  <c r="AF34" i="20" s="1"/>
  <c r="AE26" i="20"/>
  <c r="AF26" i="20" s="1"/>
  <c r="AE31" i="20"/>
  <c r="AF31" i="20" s="1"/>
  <c r="AE32" i="20"/>
  <c r="AF32" i="20" s="1"/>
  <c r="AE38" i="20"/>
  <c r="AF38" i="20" s="1"/>
  <c r="AE28" i="20"/>
  <c r="AF28" i="20" s="1"/>
  <c r="AE36" i="20"/>
  <c r="AF36" i="20" s="1"/>
  <c r="AE29" i="20"/>
  <c r="AF29" i="20" s="1"/>
  <c r="AE37" i="20"/>
  <c r="AF37" i="20" s="1"/>
  <c r="AE30" i="20"/>
  <c r="AF30" i="20" s="1"/>
  <c r="AE27" i="20"/>
  <c r="AF27" i="20" s="1"/>
  <c r="AE35" i="20"/>
  <c r="AF35" i="20" s="1"/>
  <c r="I70" i="9"/>
  <c r="E70" i="9" s="1"/>
  <c r="AC11" i="20"/>
  <c r="J52" i="9"/>
  <c r="F52" i="9" s="1"/>
  <c r="AE23" i="20"/>
  <c r="AF23" i="20" s="1"/>
  <c r="AE24" i="20"/>
  <c r="AF24" i="20" s="1"/>
  <c r="AE43" i="20"/>
  <c r="AF43" i="20" s="1"/>
  <c r="AE22" i="20"/>
  <c r="AF22" i="20" s="1"/>
  <c r="AE42" i="20"/>
  <c r="AF42" i="20" s="1"/>
  <c r="AE20" i="20"/>
  <c r="AF20" i="20" s="1"/>
  <c r="AE19" i="20"/>
  <c r="AF19" i="20" s="1"/>
  <c r="AE41" i="20"/>
  <c r="AF41" i="20" s="1"/>
  <c r="AE21" i="20"/>
  <c r="AF21" i="20" s="1"/>
  <c r="AC17" i="2" l="1"/>
  <c r="AD17" i="2" s="1"/>
  <c r="AC18" i="2"/>
  <c r="AD18" i="2" s="1"/>
  <c r="AC16" i="2"/>
  <c r="AD16" i="2" s="1"/>
  <c r="E19" i="9"/>
  <c r="I69" i="9"/>
  <c r="J69" i="9"/>
  <c r="F69" i="9" s="1"/>
  <c r="J70" i="9"/>
  <c r="F70" i="9" s="1"/>
  <c r="AB8" i="2" l="1"/>
  <c r="E69" i="9"/>
  <c r="AB7" i="2"/>
  <c r="C66" i="9"/>
  <c r="K66" i="9" s="1"/>
  <c r="C65" i="9"/>
  <c r="K65" i="9" s="1"/>
  <c r="K74" i="9" s="1"/>
  <c r="C71" i="9" l="1"/>
  <c r="I65" i="9"/>
  <c r="H65" i="9"/>
  <c r="J65" i="9"/>
  <c r="F65" i="9" s="1"/>
  <c r="H66" i="9"/>
  <c r="D66" i="9" s="1"/>
  <c r="J66" i="9"/>
  <c r="F66" i="9" s="1"/>
  <c r="I66" i="9"/>
  <c r="E66" i="9" s="1"/>
  <c r="H71" i="9" l="1"/>
  <c r="V6" i="23" s="1"/>
  <c r="J71" i="9"/>
  <c r="K71" i="9"/>
  <c r="E65" i="9"/>
  <c r="I71" i="9"/>
  <c r="V7" i="23" s="1"/>
  <c r="H74" i="9"/>
  <c r="J74" i="9"/>
  <c r="D65" i="9"/>
  <c r="V8" i="23" l="1"/>
  <c r="F71" i="9"/>
  <c r="I74" i="9"/>
  <c r="G30" i="15"/>
  <c r="E71" i="9"/>
  <c r="V10" i="23"/>
  <c r="V9" i="23"/>
  <c r="D71" i="9"/>
  <c r="AI11" i="23" l="1"/>
  <c r="T11" i="23"/>
  <c r="AE1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tc={E3D73CEF-02A7-4147-9068-B2340FBA95B0}</author>
  </authors>
  <commentList>
    <comment ref="AF68" authorId="0" shapeId="0" xr:uid="{E3D73CEF-02A7-4147-9068-B2340FBA95B0}">
      <text>
        <t>[Threaded comment]
Your version of Excel allows you to read this threaded comment; however, any edits to it will get removed if the file is opened in a newer version of Excel. Learn more: https://go.microsoft.com/fwlink/?linkid=870924
Comment:
    Do we add Converted EE kWh</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tc={BDE1C4BF-D061-418A-8C1F-C65683455270}</author>
    <author>tc={D71617FD-294C-4D46-988E-4DBB128FEB09}</author>
    <author>tc={ABE2667B-3B58-49DB-A139-177E272AFD53}</author>
    <author>tc={E07FF87B-E0FF-402B-AC82-3F8739E25821}</author>
    <author>tc={5E067D2E-ED4D-49A3-836A-6BFE98255497}</author>
  </authors>
  <commentList>
    <comment ref="H43" authorId="0" shapeId="0" xr:uid="{BDE1C4BF-D061-418A-8C1F-C65683455270}">
      <text>
        <t>[Threaded comment]
Your version of Excel allows you to read this threaded comment; however, any edits to it will get removed if the file is opened in a newer version of Excel. Learn more: https://go.microsoft.com/fwlink/?linkid=870924
Comment:
    Formula is asking for SEER/IEER but DSA does not provide. Values sourced from same place as EER baseline from DSA</t>
      </text>
    </comment>
    <comment ref="Q43" authorId="1" shapeId="0" xr:uid="{D71617FD-294C-4D46-988E-4DBB128FEB09}">
      <text>
        <t>[Threaded comment]
Your version of Excel allows you to read this threaded comment; however, any edits to it will get removed if the file is opened in a newer version of Excel. Learn more: https://go.microsoft.com/fwlink/?linkid=870924
Comment:
    Formula calls for SEER/IEER but DSA TRM does not provide</t>
      </text>
    </comment>
    <comment ref="D55" authorId="2" shapeId="0" xr:uid="{ABE2667B-3B58-49DB-A139-177E272AFD53}">
      <text>
        <t>[Threaded comment]
Your version of Excel allows you to read this threaded comment; however, any edits to it will get removed if the file is opened in a newer version of Excel. Learn more: https://go.microsoft.com/fwlink/?linkid=870924
Comment:
    Formula differs from DSA TRM</t>
      </text>
    </comment>
    <comment ref="D219" authorId="3" shapeId="0" xr:uid="{E07FF87B-E0FF-402B-AC82-3F8739E25821}">
      <text>
        <t xml:space="preserve">[Threaded comment]
Your version of Excel allows you to read this threaded comment; however, any edits to it will get removed if the file is opened in a newer version of Excel. Learn more: https://go.microsoft.com/fwlink/?linkid=870924
Comment:
    Double Check
</t>
      </text>
    </comment>
    <comment ref="E256" authorId="4" shapeId="0" xr:uid="{5E067D2E-ED4D-49A3-836A-6BFE98255497}">
      <text>
        <t>[Threaded comment]
Your version of Excel allows you to read this threaded comment; however, any edits to it will get removed if the file is opened in a newer version of Excel. Learn more: https://go.microsoft.com/fwlink/?linkid=870924
Comment:
    Updated to new TRM AFUE Baselines
Reply:
    84% Gas
Reply:
    86% Oil</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C354" authorId="0" shapeId="0" xr:uid="{4631AB88-95E0-48CE-939C-C699408CEC3B}">
      <text>
        <r>
          <rPr>
            <b/>
            <sz val="9"/>
            <color indexed="81"/>
            <rFont val="Tahoma"/>
            <family val="2"/>
          </rPr>
          <t>Rush, Meaghan:</t>
        </r>
        <r>
          <rPr>
            <sz val="9"/>
            <color indexed="81"/>
            <rFont val="Tahoma"/>
            <family val="2"/>
          </rPr>
          <t xml:space="preserve">
May have to be changed.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<sst xmlns="http://schemas.openxmlformats.org/spreadsheetml/2006/main" count="4300" uniqueCount="1963">
  <si>
    <t xml:space="preserve">Account Name : </t>
  </si>
  <si>
    <t xml:space="preserve">Account # : </t>
  </si>
  <si>
    <t xml:space="preserve">Facility Address : </t>
  </si>
  <si>
    <t xml:space="preserve">City, State, Zip : </t>
  </si>
  <si>
    <t xml:space="preserve">Phone : </t>
  </si>
  <si>
    <t xml:space="preserve">Contact Name / Title : </t>
  </si>
  <si>
    <t xml:space="preserve">Fax  : </t>
  </si>
  <si>
    <t xml:space="preserve">E-mail : </t>
  </si>
  <si>
    <t xml:space="preserve">Cell : </t>
  </si>
  <si>
    <t>Equipment Type</t>
  </si>
  <si>
    <t>Sub Category</t>
  </si>
  <si>
    <t>Split System</t>
  </si>
  <si>
    <t>Manufacturer</t>
  </si>
  <si>
    <t>Size Category</t>
  </si>
  <si>
    <t>All Sizes</t>
  </si>
  <si>
    <t>EER</t>
  </si>
  <si>
    <t>Quantity</t>
  </si>
  <si>
    <t>Total Rebate</t>
  </si>
  <si>
    <t>N/A</t>
  </si>
  <si>
    <t>Rebate</t>
  </si>
  <si>
    <t>None</t>
  </si>
  <si>
    <t>Existing Unit</t>
  </si>
  <si>
    <t>New Unit</t>
  </si>
  <si>
    <t>Size (tons)</t>
  </si>
  <si>
    <t>To complete the worksheet, follow these simple steps:</t>
  </si>
  <si>
    <t>1.</t>
  </si>
  <si>
    <t>2.</t>
  </si>
  <si>
    <t xml:space="preserve">• </t>
  </si>
  <si>
    <t>3.</t>
  </si>
  <si>
    <t>4.</t>
  </si>
  <si>
    <t>5.</t>
  </si>
  <si>
    <t>Current Version (Customer Inputs, Eligibility Table)</t>
  </si>
  <si>
    <t>Current Effective Date (Eligibility Table)</t>
  </si>
  <si>
    <t>date</t>
  </si>
  <si>
    <t>description</t>
  </si>
  <si>
    <t>initials</t>
  </si>
  <si>
    <t>version</t>
  </si>
  <si>
    <t>SN</t>
  </si>
  <si>
    <t>Initial Draft Worksheet Developed</t>
  </si>
  <si>
    <t>Ex.</t>
  </si>
  <si>
    <t>10.24.11</t>
  </si>
  <si>
    <t>11.15.11</t>
  </si>
  <si>
    <t>Update Worksheet to fix bugs, make similar to Lighting Retrofit Worksheet</t>
  </si>
  <si>
    <t>1.00</t>
  </si>
  <si>
    <t>6.</t>
  </si>
  <si>
    <t>If the rebate cell is blank, check the inputs to see if all criteria are met.  The rebate cell will be blank if the quantity is zero, the size is zero, or if the equipment status cell evaluates to an error.</t>
  </si>
  <si>
    <t>Added Instructions, Eligibility Table and Development tab</t>
  </si>
  <si>
    <t>11.21.11</t>
  </si>
  <si>
    <t>Added 15 EER, 30 SEER maximums to Customer Inputs tab</t>
  </si>
  <si>
    <t>Changed Calculations in Eff-Size Qualification tab.  Only returns Pass/Fail as a result now</t>
  </si>
  <si>
    <t>Updated cell references to Named ranges instead of Row/Column range references</t>
  </si>
  <si>
    <t>Building Type</t>
  </si>
  <si>
    <t>Added Building Type drop-down to Customer Inputs tab</t>
  </si>
  <si>
    <t>Edited Instruction Sheet</t>
  </si>
  <si>
    <t>11.22.11</t>
  </si>
  <si>
    <t>JR</t>
  </si>
  <si>
    <t>Corrected Existing Equipment Type dropdown</t>
  </si>
  <si>
    <t>Created Summary tab</t>
  </si>
  <si>
    <t>Removed Heating inputs/calculations</t>
  </si>
  <si>
    <t>Released as Version 1.00</t>
  </si>
  <si>
    <t>12.06.11</t>
  </si>
  <si>
    <t>Updated Summary tab</t>
  </si>
  <si>
    <t>&lt; 5.4 Tons</t>
  </si>
  <si>
    <t>Air Conditioners - Air Cooled</t>
  </si>
  <si>
    <t>Air Conditioners - Water &amp; Evaporatively Cooled</t>
  </si>
  <si>
    <t>≥ 11.25 &amp; &lt; 20 Tons</t>
  </si>
  <si>
    <t>≥ 20 &amp; &lt; 63 Tons</t>
  </si>
  <si>
    <t>Air Cooled Heat Pumps</t>
  </si>
  <si>
    <t>&lt; 11.25 Tons</t>
  </si>
  <si>
    <t>Water Source Heat Pumps</t>
  </si>
  <si>
    <t>≥ 5.4 &amp; &lt; 11.25 Tons</t>
  </si>
  <si>
    <t>Single Package</t>
  </si>
  <si>
    <t>COP</t>
  </si>
  <si>
    <t>HSPF</t>
  </si>
  <si>
    <t>14.0 EER
4.6 COP</t>
  </si>
  <si>
    <t>10.5 EER
3.2 COP</t>
  </si>
  <si>
    <t>11.5 EER
3.2 COP</t>
  </si>
  <si>
    <t>11.5 EER
3.4 COP</t>
  </si>
  <si>
    <t>≥ 5.4 &amp; &lt;11.25 tons</t>
  </si>
  <si>
    <t>14.0 SEER
11.6 EER
8.0 HSPF</t>
  </si>
  <si>
    <t>14.0 EER</t>
  </si>
  <si>
    <t>10.2 EER</t>
  </si>
  <si>
    <t>9.7 EER</t>
  </si>
  <si>
    <t>10.8 EER</t>
  </si>
  <si>
    <t>10.5 EER</t>
  </si>
  <si>
    <t>12.0 EER</t>
  </si>
  <si>
    <t>11.5 EER</t>
  </si>
  <si>
    <t>15.0 SEER
12.0 EER</t>
  </si>
  <si>
    <t>14.0 SEER
11.6 EER</t>
  </si>
  <si>
    <t>15.0 SEER
12.5 EER</t>
  </si>
  <si>
    <t>14.0 SEER
12.0 EER</t>
  </si>
  <si>
    <t>Air Conditioning</t>
  </si>
  <si>
    <t>Tier 2</t>
  </si>
  <si>
    <t>Tier 1</t>
  </si>
  <si>
    <t>≥ 63 Tons</t>
  </si>
  <si>
    <t>Fixed Name References</t>
  </si>
  <si>
    <t>Update Worksheet to fix bugs, make similar to AC Retrofit Worksheet</t>
  </si>
  <si>
    <t>Added Zoom Macro</t>
  </si>
  <si>
    <t>Added Clear Inputs Button and Macro</t>
  </si>
  <si>
    <t>Added Energy Savings Calculations</t>
  </si>
  <si>
    <t>Revised Calculations</t>
  </si>
  <si>
    <t>Re-arranged layout</t>
  </si>
  <si>
    <t>Initial HVAC Worksheet Created (Modified from Previous Version)</t>
  </si>
  <si>
    <t>HVAC Worksheet</t>
  </si>
  <si>
    <t>R0.00</t>
  </si>
  <si>
    <t>R0.01</t>
  </si>
  <si>
    <t>R0.02</t>
  </si>
  <si>
    <t>R0.03</t>
  </si>
  <si>
    <t>R0.04</t>
  </si>
  <si>
    <t>R1.00</t>
  </si>
  <si>
    <t>R1.01</t>
  </si>
  <si>
    <t>NC6.01</t>
  </si>
  <si>
    <t>NC6.02</t>
  </si>
  <si>
    <t>NC6.03</t>
  </si>
  <si>
    <t>12.07.11</t>
  </si>
  <si>
    <t>12.08.11</t>
  </si>
  <si>
    <t>12.30.11</t>
  </si>
  <si>
    <t>Merged Existing and New HVAC Worksheets into Complete HVAC Worksheet</t>
  </si>
  <si>
    <t>New Equipment Efficiency</t>
  </si>
  <si>
    <t>All Types</t>
  </si>
  <si>
    <t>Ductless Mini-Split AC</t>
  </si>
  <si>
    <t>Air conditioners, Air cooled (Cooling Mode)</t>
  </si>
  <si>
    <t>Air Conditioners, Water and Evaporatively Cooled</t>
  </si>
  <si>
    <t>Room Air Conditioner</t>
  </si>
  <si>
    <t>Other</t>
  </si>
  <si>
    <t>New Equipment Type</t>
  </si>
  <si>
    <t>Enter only one new / existing combination per row.  Use multiple rows for areas with more than one new / existing combination.</t>
  </si>
  <si>
    <r>
      <t xml:space="preserve">If your project requires more than 25 lines to list all equipment, continue on a second </t>
    </r>
    <r>
      <rPr>
        <u/>
        <sz val="12"/>
        <rFont val="Arial Narrow"/>
        <family val="2"/>
      </rPr>
      <t>HVAC Worksheet</t>
    </r>
    <r>
      <rPr>
        <sz val="12"/>
        <rFont val="Arial Narrow"/>
        <family val="2"/>
      </rPr>
      <t>.</t>
    </r>
  </si>
  <si>
    <t>01.03.12</t>
  </si>
  <si>
    <t>Edited changes between two worksheets</t>
  </si>
  <si>
    <t>1.03</t>
  </si>
  <si>
    <t>01.05.12</t>
  </si>
  <si>
    <t>Updated Data Validation lists on Customer Inputs tab</t>
  </si>
  <si>
    <t>1.04</t>
  </si>
  <si>
    <t>01.06.12</t>
  </si>
  <si>
    <t>1.06</t>
  </si>
  <si>
    <t>Updated WorksheetOpen() macro to work with Excel 2010 Protected View</t>
  </si>
  <si>
    <t>Added Auto Zoom button</t>
  </si>
  <si>
    <t>Fixed differences in References causing errors in calculating rebate values</t>
  </si>
  <si>
    <t>1.07</t>
  </si>
  <si>
    <t>1.08</t>
  </si>
  <si>
    <t>01.09.12</t>
  </si>
  <si>
    <r>
      <t xml:space="preserve">Removed IF(Proposed EER </t>
    </r>
    <r>
      <rPr>
        <sz val="12"/>
        <color indexed="8"/>
        <rFont val="Arial"/>
        <family val="2"/>
      </rPr>
      <t>≤</t>
    </r>
    <r>
      <rPr>
        <sz val="12"/>
        <color indexed="8"/>
        <rFont val="Arial Narrow"/>
        <family val="2"/>
      </rPr>
      <t xml:space="preserve"> 0,FAIL) in "New Unit Test - EER" in Eff-Size Qualification tab </t>
    </r>
  </si>
  <si>
    <t>Added Summary tab</t>
  </si>
  <si>
    <t>1.09</t>
  </si>
  <si>
    <t>Required both categories (EER:EER, SEER:SEER, HSPF:HSPF, COP:COP) present for calculations</t>
  </si>
  <si>
    <t>10.4 EER</t>
  </si>
  <si>
    <t>Changed Room AC requirements from 12.0 SEER to 10.4 EER</t>
  </si>
  <si>
    <t>01.12.12</t>
  </si>
  <si>
    <t>Split Summary into Tier 1 and Tier 2</t>
  </si>
  <si>
    <t>Restarted Numbering</t>
  </si>
  <si>
    <t>01.30.12</t>
  </si>
  <si>
    <t>Expanded manufacturer's list</t>
  </si>
  <si>
    <t>KM</t>
  </si>
  <si>
    <t>Trane</t>
  </si>
  <si>
    <t>1.31.12</t>
  </si>
  <si>
    <t>Removed required fields for Mfr and Model</t>
  </si>
  <si>
    <t>Deleted the drop down list for Mfr</t>
  </si>
  <si>
    <t>Code</t>
  </si>
  <si>
    <t>AC201</t>
  </si>
  <si>
    <t>AC202</t>
  </si>
  <si>
    <t>CEE Tier 0</t>
  </si>
  <si>
    <t>CEE Tier 1</t>
  </si>
  <si>
    <t>CEE Tier 2</t>
  </si>
  <si>
    <t>NA</t>
  </si>
  <si>
    <t>Current LIPA Existing Equip.</t>
  </si>
  <si>
    <t>Current LIPA New Equip.</t>
  </si>
  <si>
    <t>Comments</t>
  </si>
  <si>
    <t>11.7 EER</t>
  </si>
  <si>
    <t>11.6 IEER</t>
  </si>
  <si>
    <t>12.8 IEER</t>
  </si>
  <si>
    <t>13.8 IEER</t>
  </si>
  <si>
    <t>12.3 IEER</t>
  </si>
  <si>
    <t>13.0 IEER</t>
  </si>
  <si>
    <t>10.3 EER</t>
  </si>
  <si>
    <t>10.4 IEER</t>
  </si>
  <si>
    <t>11.1 IEER</t>
  </si>
  <si>
    <t>10.6 EER</t>
  </si>
  <si>
    <t>12.1 IEER</t>
  </si>
  <si>
    <t>9.8 IEER</t>
  </si>
  <si>
    <t>10.9 IEER</t>
  </si>
  <si>
    <t>11.4 IEER</t>
  </si>
  <si>
    <t>Change in EER</t>
  </si>
  <si>
    <t>14 EER</t>
  </si>
  <si>
    <t>&gt;=11.25 Tons</t>
  </si>
  <si>
    <t>13.8 EER</t>
  </si>
  <si>
    <t>15.1 IEER</t>
  </si>
  <si>
    <t>14.6 IEER</t>
  </si>
  <si>
    <t>Air Conditioners, Water Cooled</t>
  </si>
  <si>
    <t>Air Conditioners, Evaporatively Cooled</t>
  </si>
  <si>
    <t>13.3 EER</t>
  </si>
  <si>
    <t>14.1 IEER</t>
  </si>
  <si>
    <t>Subcategory</t>
  </si>
  <si>
    <t>CEE Tier 0 (Cooling Mode)</t>
  </si>
  <si>
    <t>11.1 EER</t>
  </si>
  <si>
    <t>11.2 IEER</t>
  </si>
  <si>
    <t>10.7 EER</t>
  </si>
  <si>
    <t>10.8 IEER</t>
  </si>
  <si>
    <t>10.1 EER</t>
  </si>
  <si>
    <t>10.2 IEER</t>
  </si>
  <si>
    <t>15.0 SEER 12.0 EER 8.5 HSPF</t>
  </si>
  <si>
    <t>15.0 SEER 12.5 EER 9.0 HSPF</t>
  </si>
  <si>
    <t>14.0 SEER 12.0 EER 8.5 HSPF</t>
  </si>
  <si>
    <t>IEER added to criteria; efficiency ratings do not differentiate between Split or Single</t>
  </si>
  <si>
    <t>11.1 EER 12.1 IEER 3.4 COP</t>
  </si>
  <si>
    <t>10.7 EER 11.7 IEER 3.2 COP</t>
  </si>
  <si>
    <t>10.1 EER 10.7 IEER 3.2 COP</t>
  </si>
  <si>
    <t>No Spec.</t>
  </si>
  <si>
    <t>14.0 EER 4.6 COP</t>
  </si>
  <si>
    <t>14.9 IEER</t>
  </si>
  <si>
    <t>14.4 IEER</t>
  </si>
  <si>
    <t>IEER added to criteria; efficiency ratings for "Multisplit system"</t>
  </si>
  <si>
    <t>VRF Air Cooled (Cooling Mode)</t>
  </si>
  <si>
    <t>HP101</t>
  </si>
  <si>
    <t>HP601</t>
  </si>
  <si>
    <t>3.28.12</t>
  </si>
  <si>
    <t>Changed password</t>
  </si>
  <si>
    <t>Updated version</t>
  </si>
  <si>
    <t>3.29.12</t>
  </si>
  <si>
    <t>Populated new summary table with lookups</t>
  </si>
  <si>
    <t>Created new summary table</t>
  </si>
  <si>
    <t>AC100</t>
  </si>
  <si>
    <t>AC200</t>
  </si>
  <si>
    <t>AC310</t>
  </si>
  <si>
    <t>AC320</t>
  </si>
  <si>
    <t>AC410</t>
  </si>
  <si>
    <t>AC420</t>
  </si>
  <si>
    <t>AC510</t>
  </si>
  <si>
    <t>AC520</t>
  </si>
  <si>
    <t>AC610</t>
  </si>
  <si>
    <t>AC620</t>
  </si>
  <si>
    <t>AC710</t>
  </si>
  <si>
    <t>AC720</t>
  </si>
  <si>
    <t>AC311</t>
  </si>
  <si>
    <t>AC321</t>
  </si>
  <si>
    <t>AC411</t>
  </si>
  <si>
    <t>AC421</t>
  </si>
  <si>
    <t>AC511</t>
  </si>
  <si>
    <t>AC521</t>
  </si>
  <si>
    <t>AC611</t>
  </si>
  <si>
    <t>AC621</t>
  </si>
  <si>
    <t>AC711</t>
  </si>
  <si>
    <t>AC721</t>
  </si>
  <si>
    <t>AC811</t>
  </si>
  <si>
    <t>AC821</t>
  </si>
  <si>
    <t>AC312</t>
  </si>
  <si>
    <t>AC322</t>
  </si>
  <si>
    <t>AC412</t>
  </si>
  <si>
    <t>AC422</t>
  </si>
  <si>
    <t>AC512</t>
  </si>
  <si>
    <t>AC522</t>
  </si>
  <si>
    <t>AC612</t>
  </si>
  <si>
    <t>AC622</t>
  </si>
  <si>
    <t>AC712</t>
  </si>
  <si>
    <t>AC722</t>
  </si>
  <si>
    <t>HP211</t>
  </si>
  <si>
    <t>HP221</t>
  </si>
  <si>
    <t>HP311</t>
  </si>
  <si>
    <t>HP321</t>
  </si>
  <si>
    <t>HP411</t>
  </si>
  <si>
    <t>HP421</t>
  </si>
  <si>
    <t>HP511</t>
  </si>
  <si>
    <t>HP521</t>
  </si>
  <si>
    <t>Equipment</t>
  </si>
  <si>
    <t>Gross kW Savings per Unit</t>
  </si>
  <si>
    <t>Gross kWh Savings per Unit</t>
  </si>
  <si>
    <t>Total kW Savings</t>
  </si>
  <si>
    <t>Measure Code</t>
  </si>
  <si>
    <t>3.30.12</t>
  </si>
  <si>
    <t>Added Lock/Unlock sheet Macro</t>
  </si>
  <si>
    <t>Changed EER base for &lt;5.4 Tons from 11.8 to 11.1</t>
  </si>
  <si>
    <t>4.20.12</t>
  </si>
  <si>
    <t>YHC024</t>
  </si>
  <si>
    <t>≥ 5.4 &amp; &lt; 11.25 tons</t>
  </si>
  <si>
    <t>5.14.12</t>
  </si>
  <si>
    <t>Corrected qualification for AC Retrofit on air cooled AC &lt; 5.4 tons single package</t>
  </si>
  <si>
    <t>Updated Total Rebate on Summary Tab</t>
  </si>
  <si>
    <t>Updated Lookup table for HP311 and HP321</t>
  </si>
  <si>
    <t>6.18.12</t>
  </si>
  <si>
    <t>Geothermal categories added to eligibility table</t>
  </si>
  <si>
    <t>6.25.12</t>
  </si>
  <si>
    <t>Updated sheet to include geothermal categories</t>
  </si>
  <si>
    <t>Ductless Mini-Split Heat Pumps</t>
  </si>
  <si>
    <t>Updated baseline for geothermal categories (used to calculate energy savings)</t>
  </si>
  <si>
    <t>6.26.12</t>
  </si>
  <si>
    <t>Updated EER max entry value on Customer Inputs sheet to 35</t>
  </si>
  <si>
    <t>Added Lock/Unlock buttons to Development Tab</t>
  </si>
  <si>
    <t>7.10.12</t>
  </si>
  <si>
    <t>Updated Minimums for Geothermal DX Equipment</t>
  </si>
  <si>
    <t>7.11.12</t>
  </si>
  <si>
    <t>Updated Eligiblity Table &amp; Minimums for All Geothermal Equipment</t>
  </si>
  <si>
    <t>7.19.12</t>
  </si>
  <si>
    <t>Added toggle switch between NC and Retrofit sheets</t>
  </si>
  <si>
    <t>7.23.12</t>
  </si>
  <si>
    <t>Updated toggle switch code</t>
  </si>
  <si>
    <t>Equipment Type (Existing)</t>
  </si>
  <si>
    <t>7.25.12</t>
  </si>
  <si>
    <t>Updated title header</t>
  </si>
  <si>
    <t>7.27.12</t>
  </si>
  <si>
    <t>Fixed Tier 0 lookups for existing unit minimums</t>
  </si>
  <si>
    <t>7.31.12</t>
  </si>
  <si>
    <t>Updated Existing Equipment Dropdown List</t>
  </si>
  <si>
    <t>Updated T0 Reference Table</t>
  </si>
  <si>
    <t>Added Existing Unit Dropdown Lookup Reference Table</t>
  </si>
  <si>
    <t>Removed Existing Unit Dropdown Static Reference Table</t>
  </si>
  <si>
    <t>Installed Cost</t>
  </si>
  <si>
    <t>Material Per Unit</t>
  </si>
  <si>
    <t>Labor Per Unit</t>
  </si>
  <si>
    <t>Total Per Unit</t>
  </si>
  <si>
    <t>Added cost Field to Customer Inputs tab</t>
  </si>
  <si>
    <t>8.27.12</t>
  </si>
  <si>
    <t>Added Application ID to both Customer Inputs and Summary tabs</t>
  </si>
  <si>
    <t>Added Customer Name to Summary tab</t>
  </si>
  <si>
    <t>8.28.12</t>
  </si>
  <si>
    <t>Product Name</t>
  </si>
  <si>
    <t>Product Class</t>
  </si>
  <si>
    <t>Product Line</t>
  </si>
  <si>
    <t>Heat Pump</t>
  </si>
  <si>
    <t>Cooling - HVAC Equipment</t>
  </si>
  <si>
    <t>Program Year</t>
  </si>
  <si>
    <t>10.18.12</t>
  </si>
  <si>
    <t>Created HVAC Types tab and ProposedEquipment0 tab</t>
  </si>
  <si>
    <t>Linked Version Number, Program Year and Program Name in headers to Development tab</t>
  </si>
  <si>
    <t>2013 - 1.0</t>
  </si>
  <si>
    <t>2012 - 1.00</t>
  </si>
  <si>
    <t>2012 - 1.0</t>
  </si>
  <si>
    <t>2012 - 1.1</t>
  </si>
  <si>
    <t>2012 - 1.2</t>
  </si>
  <si>
    <t>2012 - 1.3</t>
  </si>
  <si>
    <t>2012 - 1.4</t>
  </si>
  <si>
    <t>Restarted Numbering for New Year</t>
  </si>
  <si>
    <t>Fixed Object Movement problem on front page</t>
  </si>
  <si>
    <t>Updated HVAC Inventory name (affected Clear All Inputs)</t>
  </si>
  <si>
    <t>Made Cost data required fields</t>
  </si>
  <si>
    <t>Added note "Cost data required" to Customer inputs sheet</t>
  </si>
  <si>
    <t>12.12.12</t>
  </si>
  <si>
    <t>2.0</t>
  </si>
  <si>
    <t>Increased all rebate levels; updated eligibility table and references tab</t>
  </si>
  <si>
    <t>Changed version number</t>
  </si>
  <si>
    <t>4.24.13</t>
  </si>
  <si>
    <t>4.25.13</t>
  </si>
  <si>
    <t>Added "Limited time only" banner to eligibility table</t>
  </si>
  <si>
    <t>Edits made to eligibility table, heading text will change in Tier I &amp; II columns depending on NC or EB toggle</t>
  </si>
  <si>
    <t>4.30.13</t>
  </si>
  <si>
    <t>Instructions</t>
  </si>
  <si>
    <t>2.2</t>
  </si>
  <si>
    <t>Correction made to summary tab, kW savings were being double counted when the same device was used on multiple lines.</t>
  </si>
  <si>
    <t>7.25.13</t>
  </si>
  <si>
    <t>Version changed to 2.2</t>
  </si>
  <si>
    <t>Effective Date :</t>
  </si>
  <si>
    <t>Correction made to summary tab, kWh savings were being double counted when the same device was used on multiple lines.</t>
  </si>
  <si>
    <t>8.1.13</t>
  </si>
  <si>
    <t>2.1</t>
  </si>
  <si>
    <t>Modified Summary results for specific TRC project, The Rinx project</t>
  </si>
  <si>
    <t>Edited the reference to manufacturer on the Proposed 0 which was previously pointing to model</t>
  </si>
  <si>
    <t>3.0</t>
  </si>
  <si>
    <t>Changed version number and effective date to 3.0, 9/1/13</t>
  </si>
  <si>
    <t>8.16.13</t>
  </si>
  <si>
    <t>1.0</t>
  </si>
  <si>
    <t>Commercial Efficiency Program</t>
  </si>
  <si>
    <t>Changed version number to 1.0, year to 2014 and start date to 10.1.13</t>
  </si>
  <si>
    <t>Changed incentive amounts back to what they were prior to stimulus HVAC tab</t>
  </si>
  <si>
    <t>Changed password to monkey</t>
  </si>
  <si>
    <t xml:space="preserve">Removed all Not for Profit references </t>
  </si>
  <si>
    <t xml:space="preserve">Removed reference to Stimulus </t>
  </si>
  <si>
    <t>9.24.13</t>
  </si>
  <si>
    <t>4.0</t>
  </si>
  <si>
    <t>Added text "Projects must be completed by 3/31/14 to Eligibility Table</t>
  </si>
  <si>
    <t>Changed Version number to 4.0 and program year back to 2013</t>
  </si>
  <si>
    <t>9.26.13</t>
  </si>
  <si>
    <t>Added field, "Elec Util Cust Incentive"  to ProposeEquipment0 tab to import rebate amounts.</t>
  </si>
  <si>
    <t>10.17.13</t>
  </si>
  <si>
    <t>Corrected error on Customer Inputs tab, formula in row 32, column x had been deleted.  Formula has been added back in.</t>
  </si>
  <si>
    <t>11.21.13</t>
  </si>
  <si>
    <t>$/kW</t>
  </si>
  <si>
    <t>Total Calculated Rebate :</t>
  </si>
  <si>
    <t>12.12.13</t>
  </si>
  <si>
    <t>Removed Color Change Macros for Existing vs. New Construction</t>
  </si>
  <si>
    <t>Cell Fill Effects, Cell Color Backgrounds, and Text Color changed on Instruction, Inputs, Summary, and Eligibility Table</t>
  </si>
  <si>
    <t>Changed PSEGLI logo to PSEG logo</t>
  </si>
  <si>
    <r>
      <t xml:space="preserve">All cells with </t>
    </r>
    <r>
      <rPr>
        <u/>
        <sz val="12"/>
        <rFont val="Arial Narrow"/>
        <family val="2"/>
      </rPr>
      <t>gray</t>
    </r>
    <r>
      <rPr>
        <sz val="12"/>
        <rFont val="Arial Narrow"/>
        <family val="2"/>
      </rPr>
      <t xml:space="preserve"> backgrounds in a row must be filled out. </t>
    </r>
  </si>
  <si>
    <t>Cells requiring input are shaded with a gray background.  Cells with white background are locked for automated population.</t>
  </si>
  <si>
    <t>Changed Manufacturer and model number cells to gray for customer input</t>
  </si>
  <si>
    <t xml:space="preserve">Added logic to limit rebates to a maximum of $2,500/kW </t>
  </si>
  <si>
    <t>12.13.13</t>
  </si>
  <si>
    <t>Project Summary</t>
  </si>
  <si>
    <t>Total kW Savings:</t>
  </si>
  <si>
    <t>Total kWh Savings:</t>
  </si>
  <si>
    <t>Added rebate cap of 70% of installed cost</t>
  </si>
  <si>
    <t>12.26.13</t>
  </si>
  <si>
    <t>1.2</t>
  </si>
  <si>
    <t>Corrected Total Expected Rebate field on Customer Inputs tab.  Calculation did not account for multiple units per line or multiple lines.</t>
  </si>
  <si>
    <t>Changed PSEGLI to PSEG Long Island throughout workbook</t>
  </si>
  <si>
    <t>4.10.14</t>
  </si>
  <si>
    <t>Corrected LOOKUP on ProposedEquipment0 tab; reference table was not sorted properly resulting in incorrect Product Names, issue has been corrected</t>
  </si>
  <si>
    <t>Edited Conditional Formatting for Ductless Mini-Split Heat Pumps that are replaceing Room AC, SEER, HSPF and COP will now be grayed out on for Existing Equipment</t>
  </si>
  <si>
    <t>Changed version to 2.0</t>
  </si>
  <si>
    <t>6.10.14</t>
  </si>
  <si>
    <t>10.10.14</t>
  </si>
  <si>
    <t>Changed version to 1.0 and program year to 2015</t>
  </si>
  <si>
    <t>IM</t>
  </si>
  <si>
    <t>Increased rebate amount from $300 to $450 on AC310 &amp; AC320</t>
  </si>
  <si>
    <t>Increased rebate amount from $400 to $500 on AC410 &amp; AC420</t>
  </si>
  <si>
    <t>3.25.15</t>
  </si>
  <si>
    <t>Eligibility Requirements</t>
  </si>
  <si>
    <t>Total Cost</t>
  </si>
  <si>
    <t>Coincidence Factor</t>
  </si>
  <si>
    <t>Baseline SEER</t>
  </si>
  <si>
    <t>Baseline EER</t>
  </si>
  <si>
    <t>Baseline HSPF</t>
  </si>
  <si>
    <t>Baseline COP</t>
  </si>
  <si>
    <t>Operating Hours</t>
  </si>
  <si>
    <t>≥ 20 Tons</t>
  </si>
  <si>
    <t>Multisplit System</t>
  </si>
  <si>
    <t>Variable Refrigerant Flow Multisplit Heat Pumps</t>
  </si>
  <si>
    <t>VRF Water Source (Heating Mode)</t>
  </si>
  <si>
    <r>
      <t>68</t>
    </r>
    <r>
      <rPr>
        <sz val="10"/>
        <rFont val="Calibri"/>
        <family val="2"/>
      </rPr>
      <t>°</t>
    </r>
    <r>
      <rPr>
        <sz val="9"/>
        <rFont val="Arial Narrow"/>
        <family val="2"/>
      </rPr>
      <t xml:space="preserve"> Entering Water</t>
    </r>
  </si>
  <si>
    <t>4.6 COP</t>
  </si>
  <si>
    <t xml:space="preserve">Multisplit System </t>
  </si>
  <si>
    <t>VRF Air Cooled</t>
  </si>
  <si>
    <t>VRF Water Source</t>
  </si>
  <si>
    <t>VHP211</t>
  </si>
  <si>
    <t>VHP311</t>
  </si>
  <si>
    <t>VHP321</t>
  </si>
  <si>
    <t>VHP411</t>
  </si>
  <si>
    <t>VHP421</t>
  </si>
  <si>
    <t>Application Version:</t>
  </si>
  <si>
    <t>Effective:</t>
  </si>
  <si>
    <t>1.1</t>
  </si>
  <si>
    <t>Corrected Summary tab to include new VRF measures</t>
  </si>
  <si>
    <t>Defined Named Range for all data to be imported into Captures</t>
  </si>
  <si>
    <t>11.25.15.</t>
  </si>
  <si>
    <t>11.25.15</t>
  </si>
  <si>
    <t>Date:</t>
  </si>
  <si>
    <t>Building Type:</t>
  </si>
  <si>
    <t>Added Inspection Form</t>
  </si>
  <si>
    <t>Updated effective date to 6.15.16 and version number to 2.0</t>
  </si>
  <si>
    <t>5.11.16</t>
  </si>
  <si>
    <t>Increased Geothermal Incentive amounts</t>
  </si>
  <si>
    <t>6.17.16</t>
  </si>
  <si>
    <t>SEER/IEER</t>
  </si>
  <si>
    <t>Packaged Terminal Air Conditioners</t>
  </si>
  <si>
    <t>Packaged Terminal Heat Pumps</t>
  </si>
  <si>
    <t>&lt; 0.75 tons</t>
  </si>
  <si>
    <t>&lt; 0.75 Tons</t>
  </si>
  <si>
    <t>Packaged Terminal Air Conditioners (PTAC)</t>
  </si>
  <si>
    <t>12.2 EER</t>
  </si>
  <si>
    <t>PTAC101</t>
  </si>
  <si>
    <r>
      <rPr>
        <u/>
        <sz val="11"/>
        <rFont val="Arial Narrow"/>
        <family val="2"/>
      </rPr>
      <t>&gt;</t>
    </r>
    <r>
      <rPr>
        <sz val="11"/>
        <rFont val="Arial Narrow"/>
        <family val="2"/>
      </rPr>
      <t xml:space="preserve"> 0.75 Tons &amp; &lt; 1 Ton</t>
    </r>
  </si>
  <si>
    <t>11.4 EER</t>
  </si>
  <si>
    <t>PTAC201</t>
  </si>
  <si>
    <r>
      <rPr>
        <u/>
        <sz val="11"/>
        <rFont val="Arial Narrow"/>
        <family val="2"/>
      </rPr>
      <t>&gt;</t>
    </r>
    <r>
      <rPr>
        <sz val="11"/>
        <rFont val="Arial Narrow"/>
        <family val="2"/>
      </rPr>
      <t xml:space="preserve"> 1 Ton</t>
    </r>
  </si>
  <si>
    <t>PTAC301</t>
  </si>
  <si>
    <t>16.0 SEER
13.0 EER</t>
  </si>
  <si>
    <t>16.0 SEER
12.0 EER</t>
  </si>
  <si>
    <t>Packaged Terminal Heat Pumps (PTHPs)</t>
  </si>
  <si>
    <t>12.2 EER
3.5 COP</t>
  </si>
  <si>
    <t>PTHP101</t>
  </si>
  <si>
    <r>
      <rPr>
        <u/>
        <sz val="11"/>
        <rFont val="Arial Narrow"/>
        <family val="2"/>
      </rPr>
      <t>&gt;</t>
    </r>
    <r>
      <rPr>
        <sz val="11"/>
        <rFont val="Arial Narrow"/>
        <family val="2"/>
      </rPr>
      <t xml:space="preserve"> 0.75 tons &amp;
&lt; 1 ton</t>
    </r>
  </si>
  <si>
    <t>11.4 EER
3.3 COP</t>
  </si>
  <si>
    <t>PTHP201</t>
  </si>
  <si>
    <r>
      <rPr>
        <u/>
        <sz val="11"/>
        <rFont val="Arial Narrow"/>
        <family val="2"/>
      </rPr>
      <t>&gt;</t>
    </r>
    <r>
      <rPr>
        <sz val="11"/>
        <rFont val="Arial Narrow"/>
        <family val="2"/>
      </rPr>
      <t xml:space="preserve"> 1 ton</t>
    </r>
  </si>
  <si>
    <t>10.4 EER
3.1 COP</t>
  </si>
  <si>
    <t>PTHP301</t>
  </si>
  <si>
    <t>15.0 SEER
12.5 EER
8.5 HSPF</t>
  </si>
  <si>
    <t>15.0 SEER
12.0 EER
8.2 HSPF</t>
  </si>
  <si>
    <t>The Commercial Efficiency Program offers rebates to commercial, industrial, institutional, educational, municipal or multi-family building customers who install qualifying energy efficient equipment.  Rebates require pre-approval.</t>
  </si>
  <si>
    <t>Customer Information</t>
  </si>
  <si>
    <t>Account No:</t>
  </si>
  <si>
    <t>Rate Code:</t>
  </si>
  <si>
    <t>Account Name:</t>
  </si>
  <si>
    <t>Tax ID #:</t>
  </si>
  <si>
    <t>Facility Address:</t>
  </si>
  <si>
    <t>City:</t>
  </si>
  <si>
    <t>Zip:</t>
  </si>
  <si>
    <r>
      <t xml:space="preserve">Mailing Address:
</t>
    </r>
    <r>
      <rPr>
        <b/>
        <sz val="9"/>
        <color indexed="8"/>
        <rFont val="Arial Narrow"/>
        <family val="2"/>
      </rPr>
      <t>(If different than above)</t>
    </r>
  </si>
  <si>
    <t>DBA:</t>
  </si>
  <si>
    <t>Business Phone:</t>
  </si>
  <si>
    <t>Contact Name/Title:</t>
  </si>
  <si>
    <t>Cell Phone:</t>
  </si>
  <si>
    <t>E-Mail Address:</t>
  </si>
  <si>
    <t>Fax:</t>
  </si>
  <si>
    <t>Organization Type:</t>
  </si>
  <si>
    <r>
      <t xml:space="preserve">Building Size </t>
    </r>
    <r>
      <rPr>
        <b/>
        <sz val="8"/>
        <color indexed="8"/>
        <rFont val="Arial Narrow"/>
        <family val="2"/>
      </rPr>
      <t>(ft</t>
    </r>
    <r>
      <rPr>
        <b/>
        <vertAlign val="superscript"/>
        <sz val="8"/>
        <color indexed="8"/>
        <rFont val="Arial Narrow"/>
        <family val="2"/>
      </rPr>
      <t>2</t>
    </r>
    <r>
      <rPr>
        <b/>
        <sz val="8"/>
        <color indexed="8"/>
        <rFont val="Arial Narrow"/>
        <family val="2"/>
      </rPr>
      <t>)</t>
    </r>
    <r>
      <rPr>
        <b/>
        <sz val="11"/>
        <color indexed="8"/>
        <rFont val="Arial Narrow"/>
        <family val="2"/>
      </rPr>
      <t>:</t>
    </r>
  </si>
  <si>
    <t>Contractor Information</t>
  </si>
  <si>
    <t>Contractor Name:</t>
  </si>
  <si>
    <t>Contractor Address:</t>
  </si>
  <si>
    <t xml:space="preserve">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
</t>
  </si>
  <si>
    <t>Customer Name:
(Print)</t>
  </si>
  <si>
    <r>
      <t xml:space="preserve">Customer Signature:
</t>
    </r>
    <r>
      <rPr>
        <b/>
        <i/>
        <sz val="8"/>
        <color indexed="8"/>
        <rFont val="Arial Narrow"/>
        <family val="2"/>
      </rPr>
      <t>Duly authorized representative</t>
    </r>
  </si>
  <si>
    <t>Project Type:</t>
  </si>
  <si>
    <t>Added Customer Information tab</t>
  </si>
  <si>
    <t>Updated Customer information tab with new effective date of 12.1.16 and version number</t>
  </si>
  <si>
    <t>Removed Application Type from Customer Info tab</t>
  </si>
  <si>
    <t>Added Project Type to Customer Info tab</t>
  </si>
  <si>
    <t>Added PTAC and PTHP units</t>
  </si>
  <si>
    <t>Updated all efficiency requirements and baselines</t>
  </si>
  <si>
    <t>Baselines are from ASHRAE 90.1 2013</t>
  </si>
  <si>
    <t>Added SEER and IEER to the eligibilty table</t>
  </si>
  <si>
    <t>Made IEER or SEER required where applicable</t>
  </si>
  <si>
    <t>Added size cap of 63 tons</t>
  </si>
  <si>
    <t>10.28.16</t>
  </si>
  <si>
    <t>11.18.16</t>
  </si>
  <si>
    <t>MVG</t>
  </si>
  <si>
    <t>11.21.16</t>
  </si>
  <si>
    <t>Update baseline based on ASHRAE 90.1-2013 (Air Conditioner, Air Cooled &lt;5.4 tons Single Package)</t>
  </si>
  <si>
    <t>Update baseline based on ASHRAE 90.1-2013 (VRF Air Cooled Heat Pumps ≥ 5.4 &amp; &lt; 11.25 Tons Multisplit System)</t>
  </si>
  <si>
    <t>Update baseline based on ASHRAE 90.1-2013 (VRF Air Cooled Heat Pumps ≥ 11.25 &amp; &lt; 20 Tons Multisplit System)</t>
  </si>
  <si>
    <t>Update baseline based on ASHRAE 90.1-2013 (VRF Air Cooled Heat Pumps ≥ 20 Tons Multisplit System)</t>
  </si>
  <si>
    <t>Update baseline based on ASHRAE 90.1-2013 (Geothermal Heat Pumps &lt; 11.25 Tons Closed Loop)</t>
  </si>
  <si>
    <t>Update baseline based on ASHRAE 90.1-2013 (Geothermal Heat Pumps &lt; 11.25 Tons Open Loop)</t>
  </si>
  <si>
    <t>Update baseline based on ASHRAE 90.1-2013 (Geothermal Heat Pumps &lt; 11.25 Tons Direct Exchange (DX))</t>
  </si>
  <si>
    <r>
      <t>Adjusted EERs of products whose baseline uses only SEER.  Used formula, EER = -0.02*SEER</t>
    </r>
    <r>
      <rPr>
        <vertAlign val="superscript"/>
        <sz val="12"/>
        <color indexed="8"/>
        <rFont val="Arial Narrow"/>
        <family val="2"/>
      </rPr>
      <t>2</t>
    </r>
    <r>
      <rPr>
        <sz val="12"/>
        <color indexed="8"/>
        <rFont val="Arial Narrow"/>
        <family val="2"/>
      </rPr>
      <t xml:space="preserve"> + 1.12*SEER</t>
    </r>
  </si>
  <si>
    <t>Adjusted Tier 0 minimum requirements to match eligibility table (includes adding SEER/IEER requirements)</t>
  </si>
  <si>
    <t>Removed VRF from Tier 0</t>
  </si>
  <si>
    <t>Adjusted Heat Pump proposed efficiencies to follow CEE Tiers for "All Other" heating section instead of "Electric Resistence (None)" to match baseline</t>
  </si>
  <si>
    <t>Adjusted proposed efficiencies of Ductless Mini-Splits to match with Air Cooled AC/HP &lt;5.4 ton Split System requirements since there is no CEE tier</t>
  </si>
  <si>
    <t>Made references to Customer Information page to fill out Customer Inputs general information section and stopped the Clear Inputs button from clearing those contents.</t>
  </si>
  <si>
    <t>Updated conditional formatting on Existing Equipment "SEER/IEER" column to allow for value to be entered on AC units less than 5.4 tons. Also added "(If Available)", since this is not a required field but we will use the value if it is provided</t>
  </si>
  <si>
    <t>Updated version number to draft_1.1</t>
  </si>
  <si>
    <t>draft_1.1</t>
  </si>
  <si>
    <t>Updated effective date to 1.01.17</t>
  </si>
  <si>
    <t>12.2.16</t>
  </si>
  <si>
    <t>draft_1.2</t>
  </si>
  <si>
    <t>Adjusted PTAC &amp; PTCHP size categories</t>
  </si>
  <si>
    <t>12.13.16</t>
  </si>
  <si>
    <t>Updated version number to draft_1.2</t>
  </si>
  <si>
    <t>12.15.16</t>
  </si>
  <si>
    <t xml:space="preserve">Enter account, customer, building, and contractor information in the Customer Information tab.  </t>
  </si>
  <si>
    <t>1.6.17</t>
  </si>
  <si>
    <t>Updated conditional formatting on existing equipment based on existing criteria in references tab</t>
  </si>
  <si>
    <t>Added PTACs and PTHPs to new construction</t>
  </si>
  <si>
    <t>draft_1.3</t>
  </si>
  <si>
    <t>1.25.17</t>
  </si>
  <si>
    <t>All cells with dark gray backgrounds are not applicable to the particular equipment type selected and are to be left blank.</t>
  </si>
  <si>
    <t>The Equipment Status cell will evaluate to PASS or FAIL once you enter information.  If the cell evaluates to FAIL, then either the existing equipment type does not qualify, the size category does not meet the specified range, or the proposed and/or existing efficiencies do not meet program requirements.  Check the input data for accuracy.</t>
  </si>
  <si>
    <t>Total Estimated Rebate:</t>
  </si>
  <si>
    <t>1.9.17</t>
  </si>
  <si>
    <t>Changed wording to Instruction tab step two, fourth bullet to "dark gray"</t>
  </si>
  <si>
    <t>Updated "Equip. Status" to "Equipment Status" on Customer Inputs and Instructions tab.</t>
  </si>
  <si>
    <t>Equipment Status</t>
  </si>
  <si>
    <t>Re-named "Total Expected Rebate Amount" to "Total Estimated Rebate Amount" on Customer Inputs tab as per Walter's request</t>
  </si>
  <si>
    <t>Unfroze panes on "Eligibility Tab"</t>
  </si>
  <si>
    <t>draft_1.4</t>
  </si>
  <si>
    <t>1.10.17</t>
  </si>
  <si>
    <t>Updated version to 1.0</t>
  </si>
  <si>
    <t>1.24.17</t>
  </si>
  <si>
    <t>Added coding to CommandButton1_Click macro to keep button size consistent</t>
  </si>
  <si>
    <t>Added coding to checkbox1_Click macro to keep checkbox size consistent</t>
  </si>
  <si>
    <t>Removed SEER baseline for codes AC811/AC821</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</si>
  <si>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</si>
  <si>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</si>
  <si>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</si>
  <si>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</si>
  <si>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</si>
  <si>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</si>
  <si>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</si>
  <si>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</si>
  <si>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</si>
  <si>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By participating in this Program, Customer agrees that PSEG Long Island obtains and/or retains ownership of all rights to existing and future emissions credits, renewable energy rights to existing and future emissions credits, renewable energy green tags, tradable renewable certificates and/or any and all other environmental benefits associated with the installation of the eligible equipment.</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</si>
  <si>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</si>
  <si>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</si>
  <si>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</si>
  <si>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</si>
  <si>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</si>
  <si>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</si>
  <si>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 </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</si>
  <si>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</si>
  <si>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</si>
  <si>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</si>
  <si>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</si>
  <si>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</si>
  <si>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</si>
  <si>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</si>
  <si>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</si>
  <si>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</si>
  <si>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</si>
  <si>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</si>
  <si>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</si>
  <si>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</si>
  <si>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</si>
  <si>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</si>
  <si>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</si>
  <si>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</si>
  <si>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</si>
  <si>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</si>
  <si>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</si>
  <si>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</si>
  <si>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</si>
  <si>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</si>
  <si>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</si>
  <si>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</si>
  <si>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</si>
  <si>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</si>
  <si>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</si>
  <si>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</si>
  <si>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</si>
  <si>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</si>
  <si>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</si>
  <si>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</si>
  <si>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</si>
  <si>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</si>
  <si>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</si>
  <si>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</si>
  <si>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</si>
  <si>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</si>
  <si>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</si>
  <si>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</si>
  <si>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</si>
  <si>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</si>
  <si>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</si>
  <si>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</si>
  <si>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</si>
  <si>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</si>
  <si>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</si>
  <si>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</si>
  <si>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</si>
  <si>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</si>
  <si>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</si>
  <si>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</si>
  <si>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</si>
  <si>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</si>
  <si>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</si>
  <si>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</si>
  <si>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</si>
  <si>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</si>
  <si>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</si>
  <si>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</si>
  <si>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</si>
  <si>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I have read and understand the terms and conditions detailed above.</t>
  </si>
  <si>
    <t>(initials)</t>
  </si>
  <si>
    <t>Rebate Guidelines</t>
  </si>
  <si>
    <t>*</t>
  </si>
  <si>
    <t>Pre-approval is required.</t>
  </si>
  <si>
    <t>Pre-inspection is required for all buildings. If there is no existing building (vacant lot) pre-inspection will not be required.</t>
  </si>
  <si>
    <t>All projects are subject to Post-inspection.</t>
  </si>
  <si>
    <t xml:space="preserve">All measures must carry the appropriate designated Underwriters Laboratory (UL) or Electrical Testing Laboratory (ETL) label.
</t>
  </si>
  <si>
    <t xml:space="preserve">All installations must be installed in accordance with all applicable local, state and national codes and ordinances.
</t>
  </si>
  <si>
    <t>Total rebates will be capped at 70% of total project cost.</t>
  </si>
  <si>
    <r>
      <t xml:space="preserve">If  submitting electronically, applicant must either submit an e-mail in lieu of signature or provide a hard copy with signature </t>
    </r>
    <r>
      <rPr>
        <sz val="10"/>
        <rFont val="Arial Narrow"/>
        <family val="2"/>
      </rPr>
      <t>(</t>
    </r>
    <r>
      <rPr>
        <sz val="11"/>
        <rFont val="Arial Narrow"/>
        <family val="2"/>
      </rPr>
      <t>fax, pdf, printed original, etc.).</t>
    </r>
  </si>
  <si>
    <t>Program Requirements/Steps to Participate</t>
  </si>
  <si>
    <t>Before you purchase and install equipment, send the following to PSEG Long Island to receive your Pre-Approval Letter:</t>
  </si>
  <si>
    <r>
      <t xml:space="preserve">Completed Customer Information section of application and appropriate worksheets.  </t>
    </r>
    <r>
      <rPr>
        <sz val="11"/>
        <color indexed="8"/>
        <rFont val="Arial Narrow"/>
        <family val="2"/>
      </rPr>
      <t>(Incomplete applications will not be accepted.)</t>
    </r>
  </si>
  <si>
    <t>Submit required documents (see Required Documents check sheet)</t>
  </si>
  <si>
    <t xml:space="preserve">For Electronic Submissions e-mail documents to:  </t>
  </si>
  <si>
    <t>CEPLI@pseg.com</t>
  </si>
  <si>
    <t>Each required document must be a separate file (no zipped files)</t>
  </si>
  <si>
    <t>For hardcopy submissions:  PSEG Long Island CEP, 395 North Service Rd, Suite 409, Melville, NY 11747</t>
  </si>
  <si>
    <r>
      <rPr>
        <b/>
        <sz val="11"/>
        <color indexed="8"/>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</si>
  <si>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</si>
  <si>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</si>
  <si>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</si>
  <si>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</si>
  <si>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</si>
  <si>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If the proposed equipment is not listed in the eligibility table, refer to the Custom/Custom Retrofit Eligibility requirements and documentation and contact a PSEG Long Island Representative or PSEG Long Island's Infoline at 1-800-692-2626.  Rebate eligibility and amount will be calculated on a case by case basis. </t>
  </si>
  <si>
    <t>All eligibility requirements and deadlines apply.  See the Eligibility Table tab for a comprehensive list of these requirements.</t>
  </si>
  <si>
    <t>Required Documents for All Projects</t>
  </si>
  <si>
    <t>Document:</t>
  </si>
  <si>
    <t>Responsible Party</t>
  </si>
  <si>
    <t>Deliverable Timeline</t>
  </si>
  <si>
    <t>Customer</t>
  </si>
  <si>
    <t>Pre-Installation</t>
  </si>
  <si>
    <t>Customer/Applicant</t>
  </si>
  <si>
    <t>PSEG Long Island Project Manager</t>
  </si>
  <si>
    <t>Post-Installation</t>
  </si>
  <si>
    <t>PSEG Long Island may require additional documentation not listed in the check boxes above as deemed necessary to properly process any rebates.</t>
  </si>
  <si>
    <t>I have read and understand the information listed above.</t>
  </si>
  <si>
    <t>Added Ts &amp; Cs, Guidelines, Required Documents tabs</t>
  </si>
  <si>
    <t>Updated NTG values (Free Ridership, Spillover, Demand LLF, Energy LLF) to match Dimple's screenshot from e-mail sent on 1/23/17</t>
  </si>
  <si>
    <t>Changed version number to draft_2.0 and updating effective date</t>
  </si>
  <si>
    <t>Removed $/kW cap from Summary sheet.</t>
  </si>
  <si>
    <t>draft_2.0</t>
  </si>
  <si>
    <t>5.26.17</t>
  </si>
  <si>
    <t>6.1.17</t>
  </si>
  <si>
    <t>Updated version to 1.1</t>
  </si>
  <si>
    <t>Changed effective date to 6.26.17</t>
  </si>
  <si>
    <t>6.23.17</t>
  </si>
  <si>
    <t>draft_1.0</t>
  </si>
  <si>
    <t>Changed Air Cooled Air Conditioner retrofit criteria for existing units from EER to IEER or IPLV for all units other than Room Air Conditioners</t>
  </si>
  <si>
    <t>12.21.18</t>
  </si>
  <si>
    <t>Updated macros with correct passwords and relocked all worksheets using the updated password</t>
  </si>
  <si>
    <t>TM</t>
  </si>
  <si>
    <t>12.21.17</t>
  </si>
  <si>
    <t>12.22.17</t>
  </si>
  <si>
    <t>Minor edits to text</t>
  </si>
  <si>
    <t>kam</t>
  </si>
  <si>
    <t>draft1.1</t>
  </si>
  <si>
    <t>Project ID:</t>
  </si>
  <si>
    <t>Updated Existing Unit Eligibility logic in the Eff-Size Qualifications tab Columns: AE:AF. Now should correctly allow SEERs &lt;=10.0 and EERs &lt;= 9.0 based on the existing unit type</t>
  </si>
  <si>
    <t>(lb CO2 / Unit)</t>
  </si>
  <si>
    <t>kWh to MMBTU</t>
  </si>
  <si>
    <t>conversion factor</t>
  </si>
  <si>
    <t>Added per unit CO2 savings and per unit MMBtu savings to proposed0 tab</t>
  </si>
  <si>
    <t>Changed program year to 2019, effective date to 1.1.19 and version to daft_1.0</t>
  </si>
  <si>
    <t>12.4.18</t>
  </si>
  <si>
    <t>Do not use this application for Lighting and Standard rebates. For Lighting and Standard rebates please visit:</t>
  </si>
  <si>
    <t>12.6.18</t>
  </si>
  <si>
    <t>Updated eligibility date on guidelines to reflect 1.1.19</t>
  </si>
  <si>
    <t>ED</t>
  </si>
  <si>
    <t>Draft_1.1</t>
  </si>
  <si>
    <t>Updated pseg website link on guidelines tab</t>
  </si>
  <si>
    <t>Only applications and worksheets in effect at the time of submittal will be accepted.  Please visit our website for the most recent applications and worksheets:</t>
  </si>
  <si>
    <t xml:space="preserve">Corrected kWh calculation to use EER for room ac instead of SEER since SEER is not available </t>
  </si>
  <si>
    <t>Corrected baseline efficiency lookups on Proposed0</t>
  </si>
  <si>
    <t>Updated Line Losses to 6% Energy and 8.5% Demand</t>
  </si>
  <si>
    <t>12.7.18</t>
  </si>
  <si>
    <t>Draft_1.2</t>
  </si>
  <si>
    <t>12.13.18</t>
  </si>
  <si>
    <t>Model Number</t>
  </si>
  <si>
    <t>Updated Application Name to HVAC Rebate Application</t>
  </si>
  <si>
    <t>Draft_1.3</t>
  </si>
  <si>
    <t>Removed "Optional" from Model #/Mfg fields on worksheet</t>
  </si>
  <si>
    <t>Eligible equipment may be updated or modified regularly. For the  most recent applications and worksheets please visit:</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</si>
  <si>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https://www.PSEGLINY.com/Efficiency for more details.</t>
  </si>
  <si>
    <t>12.21.19</t>
  </si>
  <si>
    <t>Updated version to 1.0 per client approval</t>
  </si>
  <si>
    <t>Version_1.0</t>
  </si>
  <si>
    <t>Utility Gross kW</t>
  </si>
  <si>
    <t>Added 3 columns to proposed0 tab, In Service Rate, Utility Gross kW and Utility Gross kWh</t>
  </si>
  <si>
    <t>Extended number of decimal places to 7 for kW and 5 for kWh fields on Proposed0</t>
  </si>
  <si>
    <t>Updated Workbook name macro to account for additional columns</t>
  </si>
  <si>
    <t>2.15.19</t>
  </si>
  <si>
    <t>Updated dropdownn selection for Package Terminal units</t>
  </si>
  <si>
    <t>2.19.19</t>
  </si>
  <si>
    <t>draft_2.1</t>
  </si>
  <si>
    <t>Fixed Conditional Formatting logic on line 17 of the Customer Inputs tab</t>
  </si>
  <si>
    <t>2.26.19</t>
  </si>
  <si>
    <t>draft_2.2</t>
  </si>
  <si>
    <t>draft_2.3</t>
  </si>
  <si>
    <t>2.27.19</t>
  </si>
  <si>
    <t>Updated "existing IEER/SEER" field to include IPLV</t>
  </si>
  <si>
    <t>Updated SEER and EER examples on example line of customer inputs to reflect corrected #s based on eligiblity tablw</t>
  </si>
  <si>
    <t>Updated logo formating on all tabs</t>
  </si>
  <si>
    <t>Prop 0: Updated all savings columns to reflect "Number" format</t>
  </si>
  <si>
    <t>By providing a telephone number you are giving consent to be contacted at that number about matters that are closely related to the utility service.</t>
  </si>
  <si>
    <t>Updated Terms and Conditions with legal language pertaining to phone numbers</t>
  </si>
  <si>
    <t>Updated PSEGLI Logos</t>
  </si>
  <si>
    <t>Locked and hid all cells not requiring data input</t>
  </si>
  <si>
    <t>Increase row heights on Eligibility Table so all data is visible</t>
  </si>
  <si>
    <t>Updated formula in C77 on Summary tab so it properly sums values in C column above it</t>
  </si>
  <si>
    <t>draft_2.4</t>
  </si>
  <si>
    <t>3.18.19</t>
  </si>
  <si>
    <t>MT</t>
  </si>
  <si>
    <t>3.29.19</t>
  </si>
  <si>
    <t>Version 1.1 approved by the client and ready for release</t>
  </si>
  <si>
    <t>Heating Fuels</t>
  </si>
  <si>
    <t>Electric</t>
  </si>
  <si>
    <t>Gas</t>
  </si>
  <si>
    <t>Oil</t>
  </si>
  <si>
    <t>Propane</t>
  </si>
  <si>
    <t>Split System AC</t>
  </si>
  <si>
    <t>Single Package AC</t>
  </si>
  <si>
    <t>Split SystemAC</t>
  </si>
  <si>
    <t>Ductless Mini-Split HP</t>
  </si>
  <si>
    <t>Split System HP</t>
  </si>
  <si>
    <t>Single Package HP</t>
  </si>
  <si>
    <t>Packaged Terminal AC</t>
  </si>
  <si>
    <t>Packaged Terminal HP</t>
  </si>
  <si>
    <t>Heater AFUE</t>
  </si>
  <si>
    <t>11.11.19</t>
  </si>
  <si>
    <t>MCR</t>
  </si>
  <si>
    <t>1.0_draft1.0</t>
  </si>
  <si>
    <t>Development: Updated Version Number, Year and Effective date for 2020 Version 1</t>
  </si>
  <si>
    <t>References: Rearranged tables to mimic the Master Internal document</t>
  </si>
  <si>
    <t>References: Copy pasted values from Master Internal draft 1.9.1 over tables</t>
  </si>
  <si>
    <t>Worksheet: Unhid all Columns</t>
  </si>
  <si>
    <t>Worksheet: Inserted column AA to Existing Equipmet table</t>
  </si>
  <si>
    <t xml:space="preserve">Worksheet: Named new column "Heater AFUE" </t>
  </si>
  <si>
    <t>Worksheet: Inserted Column U</t>
  </si>
  <si>
    <t>Worksheet: Named new Column "Heating Fuel Type"</t>
  </si>
  <si>
    <t>References: Created table in B10:B17 that includes all possible existing fuel types</t>
  </si>
  <si>
    <t>Worksheet: Added Data validation to reference References B10:B17</t>
  </si>
  <si>
    <t>AFUE</t>
  </si>
  <si>
    <t>Displacement</t>
  </si>
  <si>
    <t>Factor</t>
  </si>
  <si>
    <t>Fossil Fuel Burner</t>
  </si>
  <si>
    <t>Parasitics (kWh/MMBtu)</t>
  </si>
  <si>
    <t>SEER/IEER/IPLV 
(if available)</t>
  </si>
  <si>
    <t>EER 
(if available)</t>
  </si>
  <si>
    <t>HSPF
(if available)</t>
  </si>
  <si>
    <t>COP 
(if available)</t>
  </si>
  <si>
    <t>Worksheet: Added Conditional formatting to Existing table for HSPF, and AFUE</t>
  </si>
  <si>
    <t>11.15.19</t>
  </si>
  <si>
    <t>Calculations:Copy pasted 2019 Master Internal draft 1.9.1 HVAC calculations over for columns A-X</t>
  </si>
  <si>
    <t>Calculations: Added columns AB &amp; AC to check if calculations are using Existing or baseline conditons, and what equipemtn type that is</t>
  </si>
  <si>
    <t>Calculations: Changed Existing/Basline to first check if a value was enetered in the existing equipment table on Customer Inputs, and if not, populate the baseline vaule from the References tab</t>
  </si>
  <si>
    <t>Calculations: Don't allow HSPF or COP to populate if User has selected a fossil fuel baseline</t>
  </si>
  <si>
    <t>Calculations: Added columns AH, AI, AJ for Existing fossil fuel equipment AFUE, Displacement, and Electric Parasitics</t>
  </si>
  <si>
    <t>Calculations: Added columns AN, AO, AP, AR, AS, and AT For MMBTU and BE kWh</t>
  </si>
  <si>
    <t>Calculations: Changed Rebate calculation to be $/kWh calculation</t>
  </si>
  <si>
    <t>Assembly</t>
  </si>
  <si>
    <t>Calculations: Changed COP calculation to check References column BJ instead of BI</t>
  </si>
  <si>
    <t>References: Updated Building types and hours to reflect Mid Atlantic TRM v9</t>
  </si>
  <si>
    <t>11.18.19</t>
  </si>
  <si>
    <t>draft 2.0</t>
  </si>
  <si>
    <t>draft 3.0</t>
  </si>
  <si>
    <t>draft 4.0</t>
  </si>
  <si>
    <t>Building</t>
  </si>
  <si>
    <t>Calculations: Added formula to EFLH cooling and EFLH heating to reference the building type and references tab table</t>
  </si>
  <si>
    <t>Customer Inputs: Added Warning over rebate columns to inform user to enter a building type</t>
  </si>
  <si>
    <t>Inspection Form: Changed Pre-Inspection to verify the Existing Heating Fuel instead of Unit size, and made Quantity a user entry</t>
  </si>
  <si>
    <t xml:space="preserve">Building Type : </t>
  </si>
  <si>
    <t>Rebate $/kWh</t>
  </si>
  <si>
    <t>Sample Photo</t>
  </si>
  <si>
    <t>Sample Phots</t>
  </si>
  <si>
    <t>Sample Photos</t>
  </si>
  <si>
    <t>For new equipment or replacement of existing equipment</t>
  </si>
  <si>
    <t>Ductless Mini-Split Cold Climate Heat Pumps</t>
  </si>
  <si>
    <t>Cold Climate Air Source Heat Pumps</t>
  </si>
  <si>
    <t>Copied Customer Inputs tab and pasted into this document</t>
  </si>
  <si>
    <t>draft 5.0</t>
  </si>
  <si>
    <t>11.20.19</t>
  </si>
  <si>
    <t>Small Business Heating: Renamed copied tab "Small Business Heating"</t>
  </si>
  <si>
    <t>Small Business Heating: Udated Data Validation for Size Category</t>
  </si>
  <si>
    <t>References: extended size category table to include ccASHPS</t>
  </si>
  <si>
    <t>Smal Business Heating: Changed formula in Column D to not require a Sub Category to be entered</t>
  </si>
  <si>
    <t>draft 6.0</t>
  </si>
  <si>
    <t>Calculations: Copy Pasted Customer Inouts table below it to create the Small Business Calculations table</t>
  </si>
  <si>
    <t>Calculations: Linked the tables to the Small Business Heating tab instead of the Customer Inputs tab</t>
  </si>
  <si>
    <t>References: Added cold climate heat pumps to the teir 1/teir2 table</t>
  </si>
  <si>
    <t>Name Manager: Extended T1T2References Name Ranges to include new heat pump measures</t>
  </si>
  <si>
    <t>Manual N</t>
  </si>
  <si>
    <t>Cooling Load</t>
  </si>
  <si>
    <t>Heating Load</t>
  </si>
  <si>
    <t>Integrated Controls</t>
  </si>
  <si>
    <t>Control Type</t>
  </si>
  <si>
    <t>Total Customer Rebate</t>
  </si>
  <si>
    <t>Total Contractor Incentive</t>
  </si>
  <si>
    <t>AHRI Reference ID</t>
  </si>
  <si>
    <t>Approved Thermostat</t>
  </si>
  <si>
    <t>Dual Fuel Thermostat</t>
  </si>
  <si>
    <t>Ecobee</t>
  </si>
  <si>
    <t>Integrated Control</t>
  </si>
  <si>
    <t>Ecobee 4</t>
  </si>
  <si>
    <t>EB-STATE4***</t>
  </si>
  <si>
    <t>No Fossil Fuel Heating</t>
  </si>
  <si>
    <t>Ductless Mini-Split Cold Climate Heat Pump</t>
  </si>
  <si>
    <t>Ducted Cold Climate Heat Pump</t>
  </si>
  <si>
    <t>Rebate $/ton</t>
  </si>
  <si>
    <t>Contractor</t>
  </si>
  <si>
    <t>11.22.19</t>
  </si>
  <si>
    <t>Calculations: Extended the first Small Business Heating table to include PASS/FAIL based on Manual N inputs</t>
  </si>
  <si>
    <t>Small Business Heating: Added columns P&amp;Q for Manual N inputs</t>
  </si>
  <si>
    <t>Calculations: Removed all reference to Eff-Q (delete)</t>
  </si>
  <si>
    <t>Calculations: Added final PASS/FAIL for small business heating to include if it passes the minimum requirements and is sized correctly</t>
  </si>
  <si>
    <t>Calculations: Rebate formula for Small business heating to $/ton basis</t>
  </si>
  <si>
    <t>Small Business Heating: Chnaged Rebate formulas to reference small business table</t>
  </si>
  <si>
    <t>Small Business Heating: Changed the reference for the Estimate Rebate to the Claculations tab</t>
  </si>
  <si>
    <t xml:space="preserve">Small Business heating: Changed Size (tons) and Quantity columns to be cooling btuh and heating btuh </t>
  </si>
  <si>
    <t>Small Business heating: Added column H for AHRI Reference number</t>
  </si>
  <si>
    <t>Small Business heating: Added integrated controls table above equipment table</t>
  </si>
  <si>
    <t>Small Business heating: Added instructions/eligibility requirements</t>
  </si>
  <si>
    <t>Small Business heating: Removed customer informatin section except the building type</t>
  </si>
  <si>
    <t>draft 7.0</t>
  </si>
  <si>
    <t>Eligibility Table: Hid columns for Tier 0 and Tier 2</t>
  </si>
  <si>
    <t>Eligiblity Table: Changed rebates to show new $/kWh structure</t>
  </si>
  <si>
    <t>Eligibility Table: Added Sample photos for different equipment</t>
  </si>
  <si>
    <t xml:space="preserve">Eligibility Table: Added Small Business Whole Building Table </t>
  </si>
  <si>
    <t>Small Business Heating: Added column AI for Contractor Incentive</t>
  </si>
  <si>
    <t>Calculations: Added Contractor Incentive in column BJ for small business heating</t>
  </si>
  <si>
    <t>Calculations: Only allow $500 to appear once and only for qaulified ccASHPs</t>
  </si>
  <si>
    <t>References: Copied Integrated control info from 2019 Whole House v2.0</t>
  </si>
  <si>
    <t>Small Business Heating: Added data validation for integrated control list</t>
  </si>
  <si>
    <t>Calculations: Switching calcs from ton to btu</t>
  </si>
  <si>
    <t>Calculations: Each line should be a single heat pump. Removed quantity from Totals calcs</t>
  </si>
  <si>
    <t>Eff-Q (delete): Deleted</t>
  </si>
  <si>
    <t>draft 8.0</t>
  </si>
  <si>
    <t>Replacement Type</t>
  </si>
  <si>
    <t>New Construction</t>
  </si>
  <si>
    <t>All Others</t>
  </si>
  <si>
    <t>For new equipment</t>
  </si>
  <si>
    <t>CCHP101-NC</t>
  </si>
  <si>
    <t>CCHP101-OC</t>
  </si>
  <si>
    <t>CCHP101-AO</t>
  </si>
  <si>
    <t>CCHP211-NC</t>
  </si>
  <si>
    <t>CCHP211-OC</t>
  </si>
  <si>
    <t>CCHP211-AO</t>
  </si>
  <si>
    <t>11.25.19</t>
  </si>
  <si>
    <t>Eligibility table: added 2 rows for each of the small business heating equipment types (ductless, ducted cold climate heat pumps)</t>
  </si>
  <si>
    <t>draft 8.1</t>
  </si>
  <si>
    <t>Eligibility table: Added new measure codes and rebate levels for small business heating</t>
  </si>
  <si>
    <t>CCHP101</t>
  </si>
  <si>
    <t>18.0 SEER
10.0 HSPF</t>
  </si>
  <si>
    <t>17.0 SEER
10.0 HSPF</t>
  </si>
  <si>
    <t>CCHP211</t>
  </si>
  <si>
    <t>Customer Inputs: Columns D &amp; V formulas were updated to reference down to row 43</t>
  </si>
  <si>
    <t>Customer Inputs: Columns D &amp; V formulas were updated to not require column E to be filled for Cold Climet heat pumps</t>
  </si>
  <si>
    <t>References: Added new cold climate heat pump and integrated control measure codes</t>
  </si>
  <si>
    <t>HVAC types: Added new cold climate heat pump and integrated control measure codes</t>
  </si>
  <si>
    <t>Small Business Heating: Updated Total Savings to reference Calculations</t>
  </si>
  <si>
    <t>Calculations: Updated Measure code formula to include cold climate heat pumps</t>
  </si>
  <si>
    <t>Calculations: Chnaged Tier formula to only show Tier 1 when project passes and the new measure is not a cold climate heat pump</t>
  </si>
  <si>
    <t>Summary: Added new cold cliamte measure codes</t>
  </si>
  <si>
    <t>Total EE kWh Savings</t>
  </si>
  <si>
    <t>Customer Rebate</t>
  </si>
  <si>
    <t>12.3.19</t>
  </si>
  <si>
    <t>draft 8.2</t>
  </si>
  <si>
    <t>Changed Small Business Heating to Whole Building ccASHP</t>
  </si>
  <si>
    <t>Whole Business ccASHP: Removed Serial Number from Integrated Controls Table</t>
  </si>
  <si>
    <t>Whole Business ccASHP: Changed Size Category data validation to formula that always equals "All Sizes" when a ccAHP is entered</t>
  </si>
  <si>
    <t>Whole Business ccASHP: Hid Size Category column</t>
  </si>
  <si>
    <t>HVAC Worksheet Totals</t>
  </si>
  <si>
    <t>WB ccASHP  Totals</t>
  </si>
  <si>
    <t>Summary: Added Totals row for WB ccASHP</t>
  </si>
  <si>
    <t>Summary: Changed row 86 to say "HVAC Worksheet Totals"</t>
  </si>
  <si>
    <t>Summary: Added formulas to add quanities and savings for WB ccASHP measures</t>
  </si>
  <si>
    <t>Summary: Adjusted HVAC Worksheet Totals formulas to include new cold climate heat pumps</t>
  </si>
  <si>
    <t>Whole Building ccASHP: Chnaged Controls Reabte to =0 when nothing is entered</t>
  </si>
  <si>
    <t>Whole Building ccASHP: Added Integrated controls to the list of requirements</t>
  </si>
  <si>
    <t>Whole Building ccASHP: Total estimated rebate will reference summary row 87</t>
  </si>
  <si>
    <t>Summary: Added check box to hide/unhide ccASHP Inspection form</t>
  </si>
  <si>
    <t>ccASHP Inspection Form: Copies from Inspection Form</t>
  </si>
  <si>
    <t>ccASHP Inspection Form: Linked to Whole Building ccASHP</t>
  </si>
  <si>
    <t>ccASHP Inspection Form: Changed Post Inspection Quantity to Unit Size Heating</t>
  </si>
  <si>
    <t>Summary tab: moved inspection check boxes to Worksheet tabs</t>
  </si>
  <si>
    <t>draft 8.3</t>
  </si>
  <si>
    <t>Macro: Save Workbook name to references tab</t>
  </si>
  <si>
    <t>Inspection Form: Added Workbook Name, project ID, and Additional Projects to inspect at top of form</t>
  </si>
  <si>
    <t>ccASHP Inspection Form: Added Workbook Name, project ID, and Additional Projects to inspect at top of form</t>
  </si>
  <si>
    <t>Gross MMBtu Savings per Unit</t>
  </si>
  <si>
    <t>Total MMBtu Savings</t>
  </si>
  <si>
    <t>12.4.19</t>
  </si>
  <si>
    <t>Whole Building ccASHP: hid contractor incentive column</t>
  </si>
  <si>
    <t>draft 8.4</t>
  </si>
  <si>
    <t>Calculations tab: Set ccASHP Contrctor incentive to 0</t>
  </si>
  <si>
    <t>Eligibility Criteria: hid Contractor Incentive Column</t>
  </si>
  <si>
    <t xml:space="preserve">Eligibility Criteria: Put Room Acs on their own table with Existing Equipment Criteria </t>
  </si>
  <si>
    <t>References: Added Room ACS to the Tier 1 &amp; 2 Table</t>
  </si>
  <si>
    <t xml:space="preserve">Calculations: Added RAC only columns W &amp; R to the HVAC Worksheet table </t>
  </si>
  <si>
    <t>Calculations: Column W will now check if the RAC is replacing a unit &lt;=8.0 EER, or it will FAIL</t>
  </si>
  <si>
    <t>12.5.19</t>
  </si>
  <si>
    <t>Calculations: Added Columns in HVAC table for Heating kW per unit and total</t>
  </si>
  <si>
    <t>Calculations: Added Columns in HVAC table for EE and BE CO2 Savings per unit</t>
  </si>
  <si>
    <t>Calculations: Added Columns in HVAC table for EE kWh Savings per unit</t>
  </si>
  <si>
    <t>Calculations: Added Columns in WB ccASHP table for Heating kW per unit and total</t>
  </si>
  <si>
    <t>Calculations: Added Columns in WH ccASHP table for EE and BE CO2 Savings per unit</t>
  </si>
  <si>
    <t>Prop0: Added 26 rows for WB ccASHP</t>
  </si>
  <si>
    <t>Prop0: Re-mapped HVAC and ccASHP to Prop0</t>
  </si>
  <si>
    <t>draft 8.5</t>
  </si>
  <si>
    <t>12.6.19</t>
  </si>
  <si>
    <t>Calculations Shifted columns for HVAC to make room for "Existing Critera"</t>
  </si>
  <si>
    <t>Calculations: Only allow FF MMBTU savings for HVAC replacements including a HP</t>
  </si>
  <si>
    <t>Total MMBTU Savings</t>
  </si>
  <si>
    <t>Total MMBTU Savings:</t>
  </si>
  <si>
    <t>HVAC Worksheet: Added Total MMBTU to Project Summary</t>
  </si>
  <si>
    <t>Whole Building ccASHP: Added Total MMBTU to Project Summary</t>
  </si>
  <si>
    <t>draft 8.6</t>
  </si>
  <si>
    <t xml:space="preserve">Cleared and locked worksheets </t>
  </si>
  <si>
    <t>draft 8.7</t>
  </si>
  <si>
    <t>HAVC Worksheet: Added data validation to Size (Tons) based on Size Category sleected</t>
  </si>
  <si>
    <t>Calculations: WB ccASHP table adjusted formulas for MMBTU, CO2, kW and kWh savings to not appear if product fails</t>
  </si>
  <si>
    <t>12.10.19</t>
  </si>
  <si>
    <t>HVAC References: ASHP &gt;5.4 to &lt;11.5 COP should be 3.4</t>
  </si>
  <si>
    <t>Whole Building ccASHP Worksheet: Added NYSERDA link for Integrated Controls</t>
  </si>
  <si>
    <t>draft 8.8</t>
  </si>
  <si>
    <t xml:space="preserve">          -See NYSERDA's list of Qualified Integrated Controls for more information: </t>
  </si>
  <si>
    <t>https:\\nyserda.ny.gov/qualified-integrated-controls</t>
  </si>
  <si>
    <t>kW Rounding</t>
  </si>
  <si>
    <t>kWh Rounding</t>
  </si>
  <si>
    <t xml:space="preserve">MMBTU Rounding </t>
  </si>
  <si>
    <t>$500/project</t>
  </si>
  <si>
    <t>draft 8.9</t>
  </si>
  <si>
    <t>12.16.19</t>
  </si>
  <si>
    <t>HVAC Worksheet: Changed existing equipment number in column V to be 2 if RAC is existing</t>
  </si>
  <si>
    <t xml:space="preserve">Calculations: For HVAC Calcs Existing Baseline lookup starts at row 4 </t>
  </si>
  <si>
    <t>Calculations: Updated rounding to reference References tab</t>
  </si>
  <si>
    <t>References: Added rounding values for kW, kWh, and MMBTU</t>
  </si>
  <si>
    <t>Eligibility table: Fixed "Busness" typo</t>
  </si>
  <si>
    <t>Eligibility table: Wrote in "$500/project" for integrated controls incentive</t>
  </si>
  <si>
    <t>HVAC References: Updated Dual Fuel Thermostats to include all new models</t>
  </si>
  <si>
    <t>Effective Date:</t>
  </si>
  <si>
    <t>Eligibility Table: Added Effective Date</t>
  </si>
  <si>
    <t>Eligibility Table: Changed Rebate on VRF to $/kWh from Tier 1 Rebate/ton</t>
  </si>
  <si>
    <t>Calculations: Changed Rebate calculation to reference Column BJ instead of BK</t>
  </si>
  <si>
    <t>Whole Building ccASHP: Extended the Existing Cooling drop down to 7 items in the list</t>
  </si>
  <si>
    <t>HVAC Inputs: Extended the Existing Cooling drop down to 7 items in the list</t>
  </si>
  <si>
    <t>Summary: Fixed CCHP211 "Total Rebate" calc</t>
  </si>
  <si>
    <t>Whole Building ccASHP: Changed Formatting for Capacity and Manual N to Nimber with comma and no decimals</t>
  </si>
  <si>
    <t>draft 9.0</t>
  </si>
  <si>
    <t>COP to HSPF</t>
  </si>
  <si>
    <t>12.18.19</t>
  </si>
  <si>
    <t>HVAC Worksheet: Added exapmles for existing equipment</t>
  </si>
  <si>
    <t>Whole Building ccASHP Worksheet: Added examples for existing equipment</t>
  </si>
  <si>
    <t>Eligibility Table: Adjusted ASHP requirements to match CEE tier requirements</t>
  </si>
  <si>
    <t>draft 9.1</t>
  </si>
  <si>
    <t>Calculations: Updated Existing/Baseline HSPF to calculate off of COP if available (specifically for Electric resistance replacement)</t>
  </si>
  <si>
    <t>References: Updated NTG factors</t>
  </si>
  <si>
    <t>draft 9.2</t>
  </si>
  <si>
    <t>12.19.19</t>
  </si>
  <si>
    <t>Whole Building ccASHP:Added AHRI ID example</t>
  </si>
  <si>
    <t>HVAC Worksheet: Changed name range for Clear Inputs</t>
  </si>
  <si>
    <t>draft 9.3</t>
  </si>
  <si>
    <t>The PSEG Long Island HVAC Worksheet gathers data on a customer, their existing AC equipment (if applicable) and their proposed heating and cooling equipment.  It automatically calculates the anticipated rebate for the proposed project.</t>
  </si>
  <si>
    <t>Instructions Tab: Removed "And their Proposd AC equipment" and changed it to "proposed heating and cooling equipment"</t>
  </si>
  <si>
    <t>Draft9.4</t>
  </si>
  <si>
    <t>Where eligible products are required to be listed with an approved rating agency (i.e. ENERGY STAR, CEE, NEEP, or other approved equivalent), products must be installed and used in accordance with the rating condition for which it was approved at the time such approval was given.</t>
  </si>
  <si>
    <t>Guidelines Tab: Row 10 - Updated date to 1/1/20</t>
  </si>
  <si>
    <t>Guidelines Tab: Row 18 - Added NEEP as approved rating agency</t>
  </si>
  <si>
    <t>Required Docs: Added a new section called "Required Documents for ccASHP Projects" - Added Manual N and AHRI as 
Pre-Installation required docs</t>
  </si>
  <si>
    <t>Instructions for Completing the HVAC Worksheet</t>
  </si>
  <si>
    <t>Instructions Tab: Changed title to say "Instructions for Completing the HVAC Worksheet"</t>
  </si>
  <si>
    <t>Draft9.5</t>
  </si>
  <si>
    <t>Wholle Building ccASHP Tab: Added an additional instruction to inform participant that ccASHP must be 5.4 tons or less and found
on the NEEP list, also edited line 1 and removed the reference to "you"</t>
  </si>
  <si>
    <t>New equipment must be of the same size as existing equipment in order to be eligible for rebates offered in this workbook; for all other replacement types please contact your PSEG Long Island representative.</t>
  </si>
  <si>
    <t>If the proposed equipment is listed in the eligibility table, use the appropirate Worksheet to calculate the estimated rebate.</t>
  </si>
  <si>
    <t>Enter information from left to right, in order. Equipment Type must be entered before the Size Category, and the Size Category before Sub Code.</t>
  </si>
  <si>
    <t>Enter the information for proposed equipment AND the existing equipment (where applicable).</t>
  </si>
  <si>
    <t>The rebate will be displayed at the end of each row, and totaled at the top of the page under ‘Total Estimated Rebate.’</t>
  </si>
  <si>
    <t>or via Lead Partner Portal Online Application</t>
  </si>
  <si>
    <t>As indicated on the application, submit completed worksheet and any other required documents to CEPLI@PSEG.com or upload to the Lead Partner Portal Online Application.  Be sure to include the PSEG Long Island account number in the subject line of emails.</t>
  </si>
  <si>
    <t>Cooling Equipment
(required)</t>
  </si>
  <si>
    <t>Primary Heating Fuel Type
(required)</t>
  </si>
  <si>
    <t>1.10.20</t>
  </si>
  <si>
    <t>HAVC Worksheet: Added "(required)" under Existing Cooling and Heating Types</t>
  </si>
  <si>
    <t>Draft9.8</t>
  </si>
  <si>
    <t>Whole Building ccASHP Worksheet: Added "(required)" under Existing Cooling and Heating Types</t>
  </si>
  <si>
    <t>Auto Repair</t>
  </si>
  <si>
    <t>Big Box Retail</t>
  </si>
  <si>
    <t>Community College</t>
  </si>
  <si>
    <t>Fast Food Restaurant</t>
  </si>
  <si>
    <t>Full Service Restaurant</t>
  </si>
  <si>
    <t>High School</t>
  </si>
  <si>
    <t>Hospital</t>
  </si>
  <si>
    <t>Hotel</t>
  </si>
  <si>
    <t>Large Office</t>
  </si>
  <si>
    <t>Large Retail</t>
  </si>
  <si>
    <t>Light Industrial</t>
  </si>
  <si>
    <t>Motel</t>
  </si>
  <si>
    <t>Primary School</t>
  </si>
  <si>
    <t>Small Office</t>
  </si>
  <si>
    <t>Small Retail</t>
  </si>
  <si>
    <t>University</t>
  </si>
  <si>
    <t>Warehouse</t>
  </si>
  <si>
    <t>1.12.20</t>
  </si>
  <si>
    <t>References: Updated EFLH per ODC recommendation</t>
  </si>
  <si>
    <t>Draft10</t>
  </si>
  <si>
    <t>1.14.20</t>
  </si>
  <si>
    <t>Worksheet Approved by client &amp; Locked</t>
  </si>
  <si>
    <t>Version 1.0</t>
  </si>
  <si>
    <t>9.04.20</t>
  </si>
  <si>
    <t>References: Updated Baseline SEER/EER/IEER/HSPF/COP to be consistent with AHRAE 90.1 2016</t>
  </si>
  <si>
    <t>2021_Version 1.0_draft1.0</t>
  </si>
  <si>
    <t>14.6 IEER
11.3 EER
3.4 COP</t>
  </si>
  <si>
    <t>13.9 IEER
10.9 EER
3.2 COP</t>
  </si>
  <si>
    <t>12.7 IEER
10.3 EER
3.2 COP</t>
  </si>
  <si>
    <t>References: Updated VRF Heat Pump Air Cooled Tier 1 eligibility to at least ASHRAE 2016 standards</t>
  </si>
  <si>
    <t>Eligibility table: Updated minimum VRF Eligibility to match References</t>
  </si>
  <si>
    <t>Integrated/Modulating Control</t>
  </si>
  <si>
    <t>Scenario</t>
  </si>
  <si>
    <t>Description</t>
  </si>
  <si>
    <t>a</t>
  </si>
  <si>
    <t>b</t>
  </si>
  <si>
    <t>c</t>
  </si>
  <si>
    <t>d</t>
  </si>
  <si>
    <t>11.10.2020</t>
  </si>
  <si>
    <t>Draft 1.1</t>
  </si>
  <si>
    <t>Peak Emmision Factor</t>
  </si>
  <si>
    <t>Off-PeakEmmision Factor</t>
  </si>
  <si>
    <t>11.11.2020</t>
  </si>
  <si>
    <t>Calculations: added new fields for whole building calcs</t>
  </si>
  <si>
    <t>References: added new fields for whole building calcs</t>
  </si>
  <si>
    <t>Calculations: adjusted savings formulas to new whole building methodology in NYS TRM</t>
  </si>
  <si>
    <t>Draft 1.2</t>
  </si>
  <si>
    <t>Inspection Form: populated Manufacturer and Model Number for Post-Inspection</t>
  </si>
  <si>
    <t>Model Number 
(if available*)</t>
  </si>
  <si>
    <t>SEER/IEER/IPLV 
(if available*)</t>
  </si>
  <si>
    <t>EER 
(if available*)</t>
  </si>
  <si>
    <t>HSPF
(if available*)</t>
  </si>
  <si>
    <t>COP 
(if available*)</t>
  </si>
  <si>
    <t>Note: Rebates for VRFs are only available for replacement of existing Multisplit systems</t>
  </si>
  <si>
    <t>n</t>
  </si>
  <si>
    <t>Eligibility Table: Added Row 7 under Eligibility Requirements to note that rebates are performance based and use ASHRAE as a baseline</t>
  </si>
  <si>
    <t>Eligibility Table: Added Row 62 under VRFs to note that VRFs must be replacing existing multisplits</t>
  </si>
  <si>
    <t>Model Number
(if available)</t>
  </si>
  <si>
    <t>11.13.2020</t>
  </si>
  <si>
    <t>Calculations: Fixed the CO2 for regular HVAC</t>
  </si>
  <si>
    <t>Draft 1.4</t>
  </si>
  <si>
    <t>Note: VRFs installed in place of all other scenarios may be eligibile for a Custom Rebate</t>
  </si>
  <si>
    <t>Integrated/Fixed Control</t>
  </si>
  <si>
    <t>CEP405</t>
  </si>
  <si>
    <t>CEP406</t>
  </si>
  <si>
    <t>CEP410</t>
  </si>
  <si>
    <t>-The ASHP and backup heating system are on the same thermostat  
-The backup heater can modulate to meet the load without limiting the ASHP from delivering its maximum capacity 
-Also called “perfect” control</t>
  </si>
  <si>
    <t>-The ASHP and backup heating system are on the same thermostat
-The backup heater has a fixed capacity to meet the load
-The backup heater is larger than the ASHP, so the ASHP is not always able to deliver its maximum capacity (the backup heater supplies a larger share of the load when both are running)</t>
  </si>
  <si>
    <t>-The central ASHP is installed on the same ductwork as the fuel-fired furnace
-Once the ASHP can no longer meet the load (or when a changeover temperature is reached)
-The ASHP shuts off and the furnace meets the load</t>
  </si>
  <si>
    <t>Eligibility Table: Expanded Integrated Controls for Whole Building</t>
  </si>
  <si>
    <t>Calculations: Added Utility Gross kW Savings</t>
  </si>
  <si>
    <t>Summary: Added Utility Gross kW Savings</t>
  </si>
  <si>
    <t>HVAC Worksheet: Added Utility Gross kW Savings to the Project Summary</t>
  </si>
  <si>
    <t>WB ccASHP Worksheet: Added Utility Gross kW Savings to the Project Summary</t>
  </si>
  <si>
    <t>Total Calculated Rebate</t>
  </si>
  <si>
    <t>11.17.20</t>
  </si>
  <si>
    <t>HVAC Worksheet: Removed Utility Gross kW</t>
  </si>
  <si>
    <t>WB ccASHP Worksheet: Removed Utility Gross kW Savings to the Project Summary</t>
  </si>
  <si>
    <t xml:space="preserve">1. To be eligible for the rebates on this worksheet, a cold climate air source heat pump (ccASHP) must be installed.  </t>
  </si>
  <si>
    <t>4. Contractors must supply a Manual N, or Load Calculations showing the total cooling and heating load for the building.</t>
  </si>
  <si>
    <t>5. The ccASHP installed must be variable capacity.</t>
  </si>
  <si>
    <t>6. If the customer is keeping the existing fossil fuel system, or is installing a new fossil fuel system, integrated controls or a dual fuel thermostat must also be installed.</t>
  </si>
  <si>
    <t>Ductless Multi-Split Cold Climate Heat Pump</t>
  </si>
  <si>
    <t>CCHP151-NC</t>
  </si>
  <si>
    <t>CCHP151-OC</t>
  </si>
  <si>
    <t>CCHP151-AO</t>
  </si>
  <si>
    <t>11.20.2020</t>
  </si>
  <si>
    <t>Eligibility Table: Added Ductless Multi-Splits to Whole Building</t>
  </si>
  <si>
    <t>Draft 2.0</t>
  </si>
  <si>
    <t>References: Changed Line Losses to 2021 values</t>
  </si>
  <si>
    <t>Ductless Multi-Split Cold Climate Heat Pumps</t>
  </si>
  <si>
    <t>12.08.20</t>
  </si>
  <si>
    <t>References: Changed the PTHP and PTAC min and Max for &gt;=1</t>
  </si>
  <si>
    <t>Draft 2.1</t>
  </si>
  <si>
    <t>12.15.20</t>
  </si>
  <si>
    <t>Customer Information: Unlocked Cell G29</t>
  </si>
  <si>
    <t>Draft 3.0</t>
  </si>
  <si>
    <t xml:space="preserve">Eligibility Table: Centered Text in F36-F47 </t>
  </si>
  <si>
    <t>References: Fixed maximum for &lt;11.25 &lt;5.4 &lt;20 &amp; &lt;63 to 11.2499999, 5.39999999, 19.999999, 62.99999999</t>
  </si>
  <si>
    <t>Organization Type</t>
  </si>
  <si>
    <t>Select…</t>
  </si>
  <si>
    <t>Government</t>
  </si>
  <si>
    <t>Not Incorporated</t>
  </si>
  <si>
    <t>Incorporated</t>
  </si>
  <si>
    <t>Grocery</t>
  </si>
  <si>
    <t>Ref Tab: Added tables for Organization Type and Building Type - Added to Name Manager</t>
  </si>
  <si>
    <t>Draft4</t>
  </si>
  <si>
    <t>Cust Ifno Tab: Removed Radio buttons for Org Type and Building Type- Replaced with Dropdown data validation</t>
  </si>
  <si>
    <t>Dev Tab: Updated effective date to 1.1.21</t>
  </si>
  <si>
    <t>Guidelines Tab: Added row 8 regarding Multi-Fam Application</t>
  </si>
  <si>
    <t>For Multi Family projects, please refer to the Multi-Family application found on the PSEG Long Island website.</t>
  </si>
  <si>
    <t>Projects must be completed within 180 days of pre approval for all retrofit applications and one year for new construction.</t>
  </si>
  <si>
    <t>If the proposed equipment either does not meet the eligibility requirements or is not listed below, the applicant may still be eligible for a Custom Rebate.
Contact a PSEG Long Island representative or the PSEG Long Island infoline at 1-800-692-2626.</t>
  </si>
  <si>
    <t>Rebates are performance based, and calculated from a baseline of ASHRAE 90.1 2016 unless existing efficiencies are provided</t>
  </si>
  <si>
    <t>12.16.20</t>
  </si>
  <si>
    <t xml:space="preserve">Guidelines Tab: Removed Row 7 </t>
  </si>
  <si>
    <t xml:space="preserve">Required Docs: Added row above Pre-Inspection and moved Vendor's Proposal </t>
  </si>
  <si>
    <t>Required Docs: Added Post Insoection box</t>
  </si>
  <si>
    <t>Eligibility Table: Removed Duplicate words in instructions</t>
  </si>
  <si>
    <r>
      <t>Eligibility table: Changed 17 degrees to 17</t>
    </r>
    <r>
      <rPr>
        <sz val="12"/>
        <color theme="1"/>
        <rFont val="Calibri"/>
        <family val="2"/>
      </rPr>
      <t>⁰</t>
    </r>
    <r>
      <rPr>
        <sz val="9.6"/>
        <color theme="1"/>
        <rFont val="Arial Narrow"/>
        <family val="2"/>
      </rPr>
      <t>F</t>
    </r>
  </si>
  <si>
    <t>Calculations: Chnaged Whold building criteria to 90% - 120%</t>
  </si>
  <si>
    <t>12.28.20</t>
  </si>
  <si>
    <t>Eligibility Table: Air Cool HP 11.25 - 63 tons COP requirement changed to 3.3 COP</t>
  </si>
  <si>
    <t>References: Chnaged &lt;2.5 tons to Max of 2.499999</t>
  </si>
  <si>
    <t>Calculations: Existing Baselin COP Reference search expanded to 4:44</t>
  </si>
  <si>
    <t>Calculations: Cooling kWh rounding using SEER now also references the references tab</t>
  </si>
  <si>
    <t>Calculations: Heating kW was missing kW increase if Proposed COP is present and baseline is not</t>
  </si>
  <si>
    <t>References: Added "Existing Other" as abseline with electric CO2</t>
  </si>
  <si>
    <t>WB cc ASHP Worksheet: Corrected spelling error in Existing Equipmet warning in column AM</t>
  </si>
  <si>
    <t>References: Removed "Control from Dual fuel Thermostat ccASHP scenario look up name</t>
  </si>
  <si>
    <t>References: Added the word "Capacity" to the Integrated/Fixed ccASHP scenario look up name</t>
  </si>
  <si>
    <t xml:space="preserve">Calculations: For HP Sizing Ratio "OR" statement was added to include both Integrated/Modulating and No Fossil Fuel Heating </t>
  </si>
  <si>
    <t>References: Double checked ASHRAE 2016 Baselines</t>
  </si>
  <si>
    <t>12.29.20</t>
  </si>
  <si>
    <t>Summary: Added new IC measure codes</t>
  </si>
  <si>
    <t>Summary: expanded Sum for Whole Building</t>
  </si>
  <si>
    <t>12.30.20</t>
  </si>
  <si>
    <t>Locked and finalized for Jan 2021 Launch</t>
  </si>
  <si>
    <t>Version1.0</t>
  </si>
  <si>
    <t>Ventilation Equipment</t>
  </si>
  <si>
    <t>Energy Recovery Ventilator (ERV)</t>
  </si>
  <si>
    <t>Existing Building</t>
  </si>
  <si>
    <t>$70/100CFM</t>
  </si>
  <si>
    <t>$60/100CFM</t>
  </si>
  <si>
    <t>High Volume Low Speed Fans (HVLS)</t>
  </si>
  <si>
    <t>HVLS fans are ceiling mounted fans that move large amounts of air more efficiently and with lower noise levels</t>
  </si>
  <si>
    <t>&gt;=16 feet diameter</t>
  </si>
  <si>
    <t>All Building Type</t>
  </si>
  <si>
    <t>ERV/HRV Equipment CFM</t>
  </si>
  <si>
    <t>Sensible HX Efficiency</t>
  </si>
  <si>
    <t>Total HX Efficiency</t>
  </si>
  <si>
    <t>Equipment Type (Required)</t>
  </si>
  <si>
    <t>Primary Heating Fuel Type (Required)</t>
  </si>
  <si>
    <t>Model Number (If Available)</t>
  </si>
  <si>
    <t>Energy Recovery Ventilator &amp; Heat Recovery Ventilator (ERV / HRV)</t>
  </si>
  <si>
    <t>Units</t>
  </si>
  <si>
    <t>Fan Type</t>
  </si>
  <si>
    <t>Fan Type (Required)</t>
  </si>
  <si>
    <t>Make-Up Air Unit</t>
  </si>
  <si>
    <t>Equipment Type (Existing Unit)</t>
  </si>
  <si>
    <t>Heating Fuels (Existing)</t>
  </si>
  <si>
    <t>Equipment Type (New Unit)</t>
  </si>
  <si>
    <t>Heat Recovery Ventilator (HRV)</t>
  </si>
  <si>
    <t>16 Feet HVLS</t>
  </si>
  <si>
    <t>17 Feet HVLS</t>
  </si>
  <si>
    <t>18 Feet HVLS</t>
  </si>
  <si>
    <t>19 Feet HVLS</t>
  </si>
  <si>
    <t>20 Feet HVLS</t>
  </si>
  <si>
    <t>21 Feet HVLS</t>
  </si>
  <si>
    <t>22 Feet HVLS</t>
  </si>
  <si>
    <t>23 Feet HVLS</t>
  </si>
  <si>
    <t>24 Feet HVLS</t>
  </si>
  <si>
    <t>Building Construction Type</t>
  </si>
  <si>
    <t>48" - 52" Diameter</t>
  </si>
  <si>
    <t>Size Category (Required)</t>
  </si>
  <si>
    <t>Result</t>
  </si>
  <si>
    <t>Air Conditioners - Water Cooled</t>
  </si>
  <si>
    <t>Existing Heating Equipment</t>
  </si>
  <si>
    <t>Ventilation</t>
  </si>
  <si>
    <t>Density of inlet air at 70ºF x 60 min/hr, in lb-min/ft3-hr</t>
  </si>
  <si>
    <t>Conversion factor, one MMBtu equals 1,000,000 BTU</t>
  </si>
  <si>
    <t>Conversion factor from horsepower to ft.lb/min</t>
  </si>
  <si>
    <t>Conversion factor (kW/hp), 746 watts equals one electric horsepower</t>
  </si>
  <si>
    <t>Conversion factor, one kW equals 1,000 Watts</t>
  </si>
  <si>
    <t>Existing Units</t>
  </si>
  <si>
    <t>$50/ Ft. Diameter</t>
  </si>
  <si>
    <t>Transfers sensible heat only between supply and exhaust airstreams</t>
  </si>
  <si>
    <t>Transfers both sensible (heat content) and latent (moisture content) heat between supply and exhaust airstreams.</t>
  </si>
  <si>
    <t>Ex</t>
  </si>
  <si>
    <t>Ventilation Worksheet Total</t>
  </si>
  <si>
    <t>Ventilation Worksheet</t>
  </si>
  <si>
    <t>Added Ventilation measure in Eligibility table</t>
  </si>
  <si>
    <t>RS</t>
  </si>
  <si>
    <t>Added measure codes for ventilation measures</t>
  </si>
  <si>
    <t>Created Ventilation worksheet and Added ventilation measures into it</t>
  </si>
  <si>
    <t>In reference tab added relevent reference of ventilation measures from cell D146</t>
  </si>
  <si>
    <t>In Calculation tab added ventilation measures calcs from cell C67</t>
  </si>
  <si>
    <t>Fixed the calcs and formatting of Ventilation tab and calcualtion tab.</t>
  </si>
  <si>
    <t>In summary tab added Ventilation measures from Cell C91</t>
  </si>
  <si>
    <t>Existing Fan Size</t>
  </si>
  <si>
    <t>Created Ventilation Inspection Forms</t>
  </si>
  <si>
    <t>Summary: Added IFNA to IC  measure codes</t>
  </si>
  <si>
    <t>Version1.1_draft4</t>
  </si>
  <si>
    <t>Summary: Changed measure codes to match internal</t>
  </si>
  <si>
    <t>Inspection Forms: Added COVID-19 questions</t>
  </si>
  <si>
    <t>draft9</t>
  </si>
  <si>
    <t>draft8</t>
  </si>
  <si>
    <t>Calculations: Changed The Depth reference to the ventilation tab to column G</t>
  </si>
  <si>
    <t>Calculations: Changed the Fan kWh savings to divide by the unit quantity to get per unit savings</t>
  </si>
  <si>
    <t>Summary: Hnaged the Total and per unit references for ventilation and fans</t>
  </si>
  <si>
    <t>draft 10</t>
  </si>
  <si>
    <t>Dev Tab: Updated version to 2.0 and effective date to 7.5.21</t>
  </si>
  <si>
    <t>Draft11</t>
  </si>
  <si>
    <t>V100</t>
  </si>
  <si>
    <t>V110</t>
  </si>
  <si>
    <t>V200</t>
  </si>
  <si>
    <t>Summary Tab: Updated new measures codes to reflect V100, V110, and V200</t>
  </si>
  <si>
    <t>Ventilation Tab: Updated formatting for all numeric fields</t>
  </si>
  <si>
    <t>Elig TableTab: Updated new measures codes to reflect V100, V110, and V200</t>
  </si>
  <si>
    <t>HVLS INS Tab: Fixed Qty formula for Post INS section</t>
  </si>
  <si>
    <t>Calculations: Removed CF from HVLS fan Peak Summer kW</t>
  </si>
  <si>
    <t>Draft 12</t>
  </si>
  <si>
    <t>Summary tab: Switched per unit and total for ERVs and HRVs</t>
  </si>
  <si>
    <t>Summary tab: Added Sumif to all ventilation measures</t>
  </si>
  <si>
    <t>Calculations: Removed CF from ERV and HRVs</t>
  </si>
  <si>
    <t>Draft 13</t>
  </si>
  <si>
    <t>Ventilation: Change Total Per Unit to Total Cost</t>
  </si>
  <si>
    <t>Ref Tab: Added Name Manager Functions for "Existing Fan Type" "Fan Building Type" and "Fan Type"</t>
  </si>
  <si>
    <t>Draft15</t>
  </si>
  <si>
    <t>Ventilation Tab: Added data validation with Name Manager to Existing Fan Type, Fan Building Type, and Fan Type dropdown fields</t>
  </si>
  <si>
    <t>Ven Tab: Corrected typos in 70% cost cap message</t>
  </si>
  <si>
    <t>Summary Tab: Added rows for ventilation to Total Rebate and Total MMBTU formulas</t>
  </si>
  <si>
    <t xml:space="preserve">Cals Tab: Added Utility Gross kW fields to columns AJ and AV for the ERVs and HRVs - Added formulas </t>
  </si>
  <si>
    <t xml:space="preserve">Cals Tab: Added Utility Gross kW fields to columns T for the Fans - Added formulas </t>
  </si>
  <si>
    <t>Summary Tab: Added UG kW columns from ERV/HRV/FANs sections on Calcs tab to rollup to Total Utility Gross kW formula on Summary Tab</t>
  </si>
  <si>
    <t>Veniliation Tab: Added Name Manager "ERVHRV_Info" and "Fan_Info" to clear contents linked to Clear Inputs Tab - Updated Code to account for this</t>
  </si>
  <si>
    <t>10.18.21</t>
  </si>
  <si>
    <t>Development tab: Unlocked for 2022 changes</t>
  </si>
  <si>
    <t>Draft1</t>
  </si>
  <si>
    <t>11.8.21</t>
  </si>
  <si>
    <t>References: Edited the CO2 values for electric</t>
  </si>
  <si>
    <t>Draft2</t>
  </si>
  <si>
    <t>If customer has participated in any other state or utility sponsored rebate program, related to the technology in this application, please contact a PSEG Long Island Representative to determine whether the project is also eligible under this program.</t>
  </si>
  <si>
    <t>Guidelines: Added language regaurding rebates from multiple utilities and other entities</t>
  </si>
  <si>
    <t>11.15.21</t>
  </si>
  <si>
    <t>Guidelines: Changed submit after date to January 1,2022</t>
  </si>
  <si>
    <t>Draft 3</t>
  </si>
  <si>
    <t>Worksheet: Dragged up formula in column D</t>
  </si>
  <si>
    <t>Project Type</t>
  </si>
  <si>
    <t>11.18.21</t>
  </si>
  <si>
    <t>Customer Information: Added New Construction and Existing Building to the drop down</t>
  </si>
  <si>
    <t>12.07.21</t>
  </si>
  <si>
    <t>Customer Information: Unlocked and Unhide Project Type</t>
  </si>
  <si>
    <t>Draft 5</t>
  </si>
  <si>
    <t>Customer Information: Chnaged Building Type drop down to reference the same as the Worksheet tab</t>
  </si>
  <si>
    <t>HVAC Inputs: Changed Building Type to formula to match Customer Info tab</t>
  </si>
  <si>
    <t>Whole Building ccASHP: Chnaged Building Type to match Customer Info tab</t>
  </si>
  <si>
    <t>Summary: Updated MMBTU per unit to Total MMBTU/Quantity</t>
  </si>
  <si>
    <t>12.29.21</t>
  </si>
  <si>
    <t>Locked worksheet for Launch</t>
  </si>
  <si>
    <t>Fossil Fuel Replacement</t>
  </si>
  <si>
    <t>7.1.22</t>
  </si>
  <si>
    <t>Eligibility Table: Hid VRF table</t>
  </si>
  <si>
    <t>Version 2.0_draft1</t>
  </si>
  <si>
    <t>Eligibility Table: Added Information about Whole Building and VRF being moved to custom and the NYS Clean Heat Calc</t>
  </si>
  <si>
    <t>6.8.22</t>
  </si>
  <si>
    <t>6.9.22</t>
  </si>
  <si>
    <t>Eligibility Table: Adjusted language regarding VRFs</t>
  </si>
  <si>
    <t>draft2</t>
  </si>
  <si>
    <t>References: Removed VRF from Existing Building and NC equipment drop downs</t>
  </si>
  <si>
    <t>draft3</t>
  </si>
  <si>
    <t>HVAC Worksheet: Adjusted Data Validation for Equipment drop down to reference new data ranges</t>
  </si>
  <si>
    <t>Whole Building ccASHP: Made sheet very hidden</t>
  </si>
  <si>
    <t>Eligibility Table: Adjusted Whole Building language</t>
  </si>
  <si>
    <t>Eligibility Table: Removed Whole Building ccASHP table</t>
  </si>
  <si>
    <t>7.5.22</t>
  </si>
  <si>
    <t>Dev Tab: Updated version number to reflect 2.0</t>
  </si>
  <si>
    <t>AW</t>
  </si>
  <si>
    <t>Required Documents: Removed Whole Building specific documents</t>
  </si>
  <si>
    <t>Draft 4</t>
  </si>
  <si>
    <t>Variable Refrigerant Flow (VRF) heat pump installations must go through the custom program and use the NYS Clean Heat Calculator found on the PSEG Long Island website.</t>
  </si>
  <si>
    <t>7.7.22</t>
  </si>
  <si>
    <t>Locked and finalized for launch</t>
  </si>
  <si>
    <t>Version 2.0</t>
  </si>
  <si>
    <t>8.5.22</t>
  </si>
  <si>
    <t>Whole Building ccASHP: Removed remaining data entered</t>
  </si>
  <si>
    <t>Version 2.1_draft1</t>
  </si>
  <si>
    <t>Summary: ccASHP WB measures were removed from the summary table</t>
  </si>
  <si>
    <t>8.26.22</t>
  </si>
  <si>
    <t>Locked for Version 2.1</t>
  </si>
  <si>
    <t>Version 2.1</t>
  </si>
  <si>
    <t>10.12.22</t>
  </si>
  <si>
    <t>Develpement: Updated Year and Version for 2023 Version 1.0</t>
  </si>
  <si>
    <t>Version1.0_draft1</t>
  </si>
  <si>
    <t>11.18.22</t>
  </si>
  <si>
    <t>Develpement: changed effective date</t>
  </si>
  <si>
    <t>Guidelines: Updated naming convention for 23</t>
  </si>
  <si>
    <t>References: Added cloumn for New Construction Baseline</t>
  </si>
  <si>
    <t>11.21.22</t>
  </si>
  <si>
    <t>References: Changed New Construction to "Baseline New Construction"</t>
  </si>
  <si>
    <t>Calculations: Added "Baseline New Constrution" to BE savings calcs</t>
  </si>
  <si>
    <t>Eligibility Table: Removed Eco Dev Room Air Conditioners</t>
  </si>
  <si>
    <t>Eligibility Table: Removed unused columns</t>
  </si>
  <si>
    <t>Rebate Payment Method</t>
  </si>
  <si>
    <t>Rebate Payment Method:</t>
  </si>
  <si>
    <t>Check to Customer</t>
  </si>
  <si>
    <t>Assigned to Contractor</t>
  </si>
  <si>
    <t>Customer Information: Added Rebate Payment Method drop down &amp; removed check box</t>
  </si>
  <si>
    <t>References: Added Rebate payment drop down options</t>
  </si>
  <si>
    <t>12.13.22</t>
  </si>
  <si>
    <t>References: Removed "kWh" from cell G139</t>
  </si>
  <si>
    <t>draft4</t>
  </si>
  <si>
    <t>Calculations: Highlighted AFUE column to note changes</t>
  </si>
  <si>
    <t>References: Removed Room Air Conditioner from Existing Building Drop Down</t>
  </si>
  <si>
    <t>HVAC Worksheet: Chnaged Equipment Type Drop Down to always equal References Column D (No Eco Dev)</t>
  </si>
  <si>
    <t>References: Updated Baseline SEER, EER, and HSPF values for systems &lt;5.4 tons to new 2023 Standards</t>
  </si>
  <si>
    <t>12.20.22</t>
  </si>
  <si>
    <t>Eligibility Table: Updated Heat Pump incentives to $2.00/kWh per approved memo</t>
  </si>
  <si>
    <t>draft5</t>
  </si>
  <si>
    <t>References: Updated Heat Pump incentives 10 $2.00/kWh per approved memo</t>
  </si>
  <si>
    <t>CCHP151</t>
  </si>
  <si>
    <t>12.27.22</t>
  </si>
  <si>
    <t>HVAC Types: Added Multi Split CCHP</t>
  </si>
  <si>
    <t>References: Added Multi Split CCHP All Types</t>
  </si>
  <si>
    <t>HVAC Worksheet: Updated Data Validation for Sub Caegory dropdown to accommodate Multi Split CCHP</t>
  </si>
  <si>
    <t>12.28.22`</t>
  </si>
  <si>
    <t>Draft 6</t>
  </si>
  <si>
    <t>Draft7</t>
  </si>
  <si>
    <t>Summary Tab: Updated formulas for Total Savings to include ccASHP measures</t>
  </si>
  <si>
    <t>HVAC References: Updated baseline data back to match 2023 DSA TRM - We are awaiting updated CEE Guidance for Efficiency values (Mid 2023) - Once we have that guidance, we will update baselines back to 2023 Code</t>
  </si>
  <si>
    <t>Calcs Tab: Corrected UG kW formula to include Multi Splits</t>
  </si>
  <si>
    <t>1.10.23</t>
  </si>
  <si>
    <t>Locked and final per client approval</t>
  </si>
  <si>
    <t>V1</t>
  </si>
  <si>
    <t>Dev Tab: Updated Program Year to 2023, Current Effective Date to 1.1.24</t>
  </si>
  <si>
    <t>EM</t>
  </si>
  <si>
    <t>Updated all Tabs with new color of Dark Steel Gray and new PSEG logo</t>
  </si>
  <si>
    <t>10.5.23</t>
  </si>
  <si>
    <t>References:</t>
  </si>
  <si>
    <t>Air Conditioners - Air Cooled ≥ 5.4 &amp; &lt; 11.25 Tons: (baselines) EER 11 -&gt; 12.1; IEER 12.7 -&gt; 14.6</t>
  </si>
  <si>
    <t>Air Conditioners - Air Cooled ≥ 11.25 &amp; &lt; 20 Tons: (Baselines) EER 10.8 -&gt; 11.8; IEER 12.2 -&gt; 14.0</t>
  </si>
  <si>
    <t>Air Conditioners - Air Cooled ≥ 20 &amp; &lt; 63 Tons: (Baselines) EER 9.8 -&gt; 11.2; IEER 11.4 -&gt; 13</t>
  </si>
  <si>
    <t>Air Cooled Heat Pumps ≥ 5.4 &amp; &lt; 11.25 Tons: (Baselines) EER 10.8 -&gt; 11.7; IEER 12 -&gt; 13.9; COP 3.3 -&gt; 3.4</t>
  </si>
  <si>
    <t>Air Cooled Heat Pumps ≥ 11.25 &amp; &lt; 20 Tons: (Baselines) EER 10.4 -&gt; 11.4; IEER 11.4 -&gt;13.3; COP 3.2 -&gt; 3.3</t>
  </si>
  <si>
    <t>Air Cooled Heat Pumps ≥ 20 &amp; &lt; 63 Tons: (Baselines) EER 9.3 -&gt; 10.8; IEER 10.4 -&gt; 12.3</t>
  </si>
  <si>
    <t>Ductless Mini-Split AC &lt; 5.4 tons All Types: (Baselines) EER 11.18 -&gt; 11.2</t>
  </si>
  <si>
    <t>Ductless Mini-Split Heat Pumps &lt; 5.4 tons All Types: (Baselines) EER 11.76 -&gt; 11.2; SEER 14-&gt;13</t>
  </si>
  <si>
    <t>VRF Water Source Heat Pumps &lt; 11.25 Tons Multisplit System: (Baselines) IEER n/a -&gt; 16</t>
  </si>
  <si>
    <t>Cold Climate Air Source Heat Pumps All Sizes All Types: (Baselines) EER 11.76 -&gt; 11.8</t>
  </si>
  <si>
    <t>GEO All types: (Baselines) EER 10.8 -&gt; 11.2</t>
  </si>
  <si>
    <t>SB</t>
  </si>
  <si>
    <t>V1_D2</t>
  </si>
  <si>
    <t>ERV/HRV: Toutdoor, heating: 45.93 -&gt; 53.2</t>
  </si>
  <si>
    <t>Operating Days:</t>
  </si>
  <si>
    <t>24/7 - 365: Cooling 2863 -&gt; 2684; Heating 5735 -&gt; 5920</t>
  </si>
  <si>
    <t>Other: Avg of above values</t>
  </si>
  <si>
    <t>Mon - Sun 6AM-12AM: Cooling 2400 -&gt;2152; Heating 4409 -&gt; 4303</t>
  </si>
  <si>
    <t>Mon - Sun 6AM-10PM: Cooling 2057 -&gt;1946; Heating 3673 -&gt; 3796</t>
  </si>
  <si>
    <t>Mon - Fri 7AM-7PM and Sun 11AM-6PM: Cooling 1547 -&gt;1220; Heating 2602 -&gt; 2204</t>
  </si>
  <si>
    <t>Mon - Fri 7AM-7PM: Cooling 1334 -&gt;1081; Heating 2347 -&gt; 1984</t>
  </si>
  <si>
    <t>Mon - Fri 7AM-5PM: Cooling 1046 -&gt;890; Heating 1779 -&gt; 1663</t>
  </si>
  <si>
    <t>HVLS:</t>
  </si>
  <si>
    <t>Oper Hours: 5162 -&gt; 4988</t>
  </si>
  <si>
    <t>10.6.23</t>
  </si>
  <si>
    <t>lbf/Fan</t>
  </si>
  <si>
    <t>53" +</t>
  </si>
  <si>
    <t>Fan lbf/kW</t>
  </si>
  <si>
    <t>VFD Control</t>
  </si>
  <si>
    <t>Yes</t>
  </si>
  <si>
    <t>VFD</t>
  </si>
  <si>
    <t>No</t>
  </si>
  <si>
    <t>Saving Calcs updated as per 2024 DSA TRM</t>
  </si>
  <si>
    <t>V1_D3</t>
  </si>
  <si>
    <t>10.9.23</t>
  </si>
  <si>
    <t>BEFLH:</t>
  </si>
  <si>
    <t>Updated to Reflect NYS TRM V10 Appendix G</t>
  </si>
  <si>
    <t>Large Comercial category using CAV nonecon</t>
  </si>
  <si>
    <t>V1.D4</t>
  </si>
  <si>
    <t>Air Conditioners - Air Cooled ≥ 5.4 &amp; &lt; 11.25 Tons: ( Eff baselines) EER 12 -&gt; 12.6; IEER 14.6 -&gt; 17, Tier II EER 12.4 -&gt; 12.6</t>
  </si>
  <si>
    <t>Air Conditioners - Air Cooled ≥ 11.25 &amp; &lt; 20 Tons: (Eff Baselines) EER 12 -&gt; 12.3; IEER 14 -&gt; 16.5, Tier II EER 12 -&gt; 12.3</t>
  </si>
  <si>
    <t>10.31.23</t>
  </si>
  <si>
    <t>Air Cooled Heat Pumps ≥ 5.4 &amp; &lt; 11.25 Tons: (Eff Baselines) EER 11.6 -&gt; 12.1; IEER 13.4 -&gt; 14.5 COP 3.4 -&gt; 3.5</t>
  </si>
  <si>
    <t>V1.D6</t>
  </si>
  <si>
    <t>Air Conditioners - Air Cooled ≥ 20 &amp; &lt; 63 Tons: (Eff Baselines) EER 10.6 -&gt; 11.5; IEER 13 -&gt; 16</t>
  </si>
  <si>
    <t>Air Cooled Heat Pumps ≥ 11.25 &amp; &lt; 20 Tons: (Eff Baselines) EER 10.7 -&gt; 12.4; IEER 12.6 -&gt;13.9; COP 3.3 -&gt; 3.4</t>
  </si>
  <si>
    <t>Air Cooled Heat Pumps ≥ 20 &amp; &lt; 63 Tons: (Eff Baselines) EER 10.1 -&gt; 11.8; IEER 11.6 -&gt; 12.9</t>
  </si>
  <si>
    <t>New Eff baselines from file name "New HVAC Eff Baselines Analysis" in 2024 Drafts HVAC Folder</t>
  </si>
  <si>
    <t>11.3.23</t>
  </si>
  <si>
    <t>Worksheet Tab: Remove "Room" 2 clause from column V to properly calculate Room AC as existing condition savings</t>
  </si>
  <si>
    <t>V1_D8</t>
  </si>
  <si>
    <t>12.6 EER
17 IEER</t>
  </si>
  <si>
    <t>12.3 EER
16.5 IEER</t>
  </si>
  <si>
    <t>11.5 EER
16 IEER</t>
  </si>
  <si>
    <t>14.5 IEER
12.1 EER
3.5 COP</t>
  </si>
  <si>
    <t>13.9 IEER
12.4 EER
3.4 COP</t>
  </si>
  <si>
    <t>12.9 IEER
11.8 EER
3.3 COP</t>
  </si>
  <si>
    <t>11.6.23</t>
  </si>
  <si>
    <t>Final and locked per Client Approval</t>
  </si>
  <si>
    <t>Enter the equipment information in the table on the HVAC Worksheet tab.</t>
  </si>
  <si>
    <t xml:space="preserve">For Whole Building Heat Pump projects, refer to the Custom application found on the PSEG Long Island website. </t>
  </si>
  <si>
    <t>12.28.23</t>
  </si>
  <si>
    <t>Created V2.0_Draft1</t>
  </si>
  <si>
    <t>V2-D1</t>
  </si>
  <si>
    <t>Guidelines Tab: Added language that all whole building heat pumps should go Custom</t>
  </si>
  <si>
    <t>HVAC equipment efficiency criteria are based on applicable AHRI standards at AHRI standard conditions using a non-CFC refrigerant.</t>
  </si>
  <si>
    <t>ERV/HRV installation only eligible for retrofit purpose only. New installation will not be eligible for the rebate. Please use Ventilation tab to enter the equipment details and to determine the eligible rebate</t>
  </si>
  <si>
    <t>Eligibility Table Tab: Added language that all whole building heat pumps should go Custom and rebates are for Partial Heat Pumps House</t>
  </si>
  <si>
    <t>Projects installing Whole Building heat pumps must go through the custom program and use the NYS Clean Heat Calculator found on the PSEG Long Island website.</t>
  </si>
  <si>
    <t>11.18.23</t>
  </si>
  <si>
    <t>V2.0</t>
  </si>
  <si>
    <t>- Heat Pump Rebates in application are available for Partial Building Heat Pumps only. Refer to "Part Building ccASHP Worksheet" tab.</t>
  </si>
  <si>
    <t>Required Documents for Part Building ccASHP Projects</t>
  </si>
  <si>
    <t xml:space="preserve">All Whole Building Heat Pumps must go Custom. </t>
  </si>
  <si>
    <t>Must be NEEP Listed</t>
  </si>
  <si>
    <t>3.12.24</t>
  </si>
  <si>
    <t>Whole Build ccASHP Tab: Unhid tab and renamed to Part Building Heat Pump Tab</t>
  </si>
  <si>
    <t>Req Docs: Added Part Building Required Docs</t>
  </si>
  <si>
    <t>Eligibility Table Tab: Unhid Whole Building Table and renamed to Part Building - Updated efficiency to be "Must be on NEEP List"</t>
  </si>
  <si>
    <t>V3_Draft1</t>
  </si>
  <si>
    <t>3.20.24</t>
  </si>
  <si>
    <t>Name Manager: Updates Name Manager for Equipment Dropdown on HVAC Worksheet to exclude ccASHP</t>
  </si>
  <si>
    <t>Name Manager: Updated Name Manager on Part Building ccASHP Worksheet to reflect ccASHP only</t>
  </si>
  <si>
    <t>V3_Draft2</t>
  </si>
  <si>
    <t>4a</t>
  </si>
  <si>
    <t>4b</t>
  </si>
  <si>
    <t>2a</t>
  </si>
  <si>
    <t>2b</t>
  </si>
  <si>
    <t>2c</t>
  </si>
  <si>
    <t>3a</t>
  </si>
  <si>
    <r>
      <t>2. The ccASHP must be sized at 17</t>
    </r>
    <r>
      <rPr>
        <sz val="11"/>
        <color theme="1"/>
        <rFont val="Calibri"/>
        <family val="2"/>
      </rPr>
      <t>⁰</t>
    </r>
    <r>
      <rPr>
        <sz val="8.8000000000000007"/>
        <color theme="1"/>
        <rFont val="Arial Narrow"/>
        <family val="2"/>
      </rPr>
      <t>F</t>
    </r>
    <r>
      <rPr>
        <sz val="11"/>
        <color theme="1"/>
        <rFont val="Arial Narrow"/>
        <family val="2"/>
      </rPr>
      <t xml:space="preserve"> to meet at least 65%-135% of the building's total heating load.</t>
    </r>
  </si>
  <si>
    <r>
      <t xml:space="preserve">3. Eligible ccASHP equipment </t>
    </r>
    <r>
      <rPr>
        <b/>
        <i/>
        <sz val="12"/>
        <color theme="1"/>
        <rFont val="Arial Narrow"/>
        <family val="2"/>
      </rPr>
      <t>must be</t>
    </r>
    <r>
      <rPr>
        <sz val="12"/>
        <color theme="1"/>
        <rFont val="Arial Narrow"/>
        <family val="2"/>
      </rPr>
      <t xml:space="preserve"> found on the NEEP Cold Climate ASHP list.</t>
    </r>
  </si>
  <si>
    <t>3.26.24</t>
  </si>
  <si>
    <t>Ref Tab: Updated Controls section to be just Separate Control</t>
  </si>
  <si>
    <t>Calcs Tab: Updated formulas accordingly for Separate controls</t>
  </si>
  <si>
    <t>Sumamry Tab: Updated formulas to link to Small  Biz heating table</t>
  </si>
  <si>
    <t>Ve_Draft6</t>
  </si>
  <si>
    <t xml:space="preserve">- All Partial Building Cold Climate Air Source Heat Pumps are paid on a $/Ton Basis and available on the "Part Building ccASHP Worksheet" tab. </t>
  </si>
  <si>
    <r>
      <t>95</t>
    </r>
    <r>
      <rPr>
        <b/>
        <sz val="10"/>
        <color theme="0"/>
        <rFont val="Calibri"/>
        <family val="2"/>
      </rPr>
      <t>°</t>
    </r>
    <r>
      <rPr>
        <b/>
        <sz val="8"/>
        <color theme="0"/>
        <rFont val="Arial Narrow"/>
        <family val="2"/>
      </rPr>
      <t xml:space="preserve">F </t>
    </r>
    <r>
      <rPr>
        <b/>
        <sz val="10"/>
        <color theme="0"/>
        <rFont val="Arial Narrow"/>
        <family val="2"/>
      </rPr>
      <t>Rated Cooling Capacity (Btuh) (From NEEP List)</t>
    </r>
  </si>
  <si>
    <t>17°F Rated Heating Capacity (Btuh) (From NEEP List)</t>
  </si>
  <si>
    <r>
      <t>-Ductless Mini-Split is a Single Zone application
-AHRI Capacity at 17</t>
    </r>
    <r>
      <rPr>
        <sz val="11"/>
        <rFont val="Calibri"/>
        <family val="2"/>
      </rPr>
      <t>⁰F</t>
    </r>
    <r>
      <rPr>
        <sz val="11"/>
        <rFont val="Arial Narrow"/>
        <family val="2"/>
      </rPr>
      <t xml:space="preserve"> must meet at least 65-135% of the calculated heating load
-Must be installed with Integrated Modulating Controls if fossil fuel heaters are still present</t>
    </r>
  </si>
  <si>
    <t>-Ductless Multi-Split is a Multiple Zone application
-AHRI Capacity at 17⁰F degrees must meet at least 65-135% of the calculated heating load
-Must be installed with Integrated Modulating Controls if fossil fuel heaters are still present</t>
  </si>
  <si>
    <t>-Centrally Ducted System
-AHRI Capacity at 17⁰F degrees must meet at least 65-135% of the calculated heating load</t>
  </si>
  <si>
    <t>Partial Building Cold Climate Air Source Heat Pump</t>
  </si>
  <si>
    <t xml:space="preserve">Note: Fossil Fuel Replacement = Oil No Central Air Conditioner, All Others = All Other Scenarios </t>
  </si>
  <si>
    <t>3.27.24</t>
  </si>
  <si>
    <t>HVAC Tab: Hid all heat pumps except PTHP</t>
  </si>
  <si>
    <t>Ref Tab: Updated PTHP rebate to 750/Ton</t>
  </si>
  <si>
    <t>Calcs Tab: updated rebate calcs to calculate PTHP at $/Ton rebate, all other rebates from HVAC Worksheet Tab to remain at $/kWh</t>
  </si>
  <si>
    <t>Part Build Tab: Removed AHRI references and replaced with NEEP refeeences</t>
  </si>
  <si>
    <t>Part Build Tab: Removed Small Business in tab name</t>
  </si>
  <si>
    <t>Part Build Tab: Added data validation for systems over 300,000 17F heating BTU</t>
  </si>
  <si>
    <t>Elig Tab: Removed all non CC heat pumps</t>
  </si>
  <si>
    <t>Elig Tab: Updated % load for ccSHP to 65-135%</t>
  </si>
  <si>
    <t>Elig Tab: Updated PTHP rebate to $750/Ton</t>
  </si>
  <si>
    <t>V3_Draft9</t>
  </si>
  <si>
    <t>Ref Tab: Updated all heat pump rebates to $600/Ton</t>
  </si>
  <si>
    <t>Elig Tab: Updated all heat pump rebates to reflect $600/Ton</t>
  </si>
  <si>
    <t>V3_Draft10</t>
  </si>
  <si>
    <t xml:space="preserve">Rebates are based on 17°F Rated Heating Capacity </t>
  </si>
  <si>
    <t>**Disadvantaged Community (DAC) rebates are available to customers who are located within a Disadvantaged Community; refer to the Disadvantaged Community dropdown on the Customer Information tab
PSEG Long Island will make the final determination if a customer is located within a Disadvantaged Community</t>
  </si>
  <si>
    <t xml:space="preserve">Note: In order for a heat pump to qualify as cold climate, it must appear on the NEEP cold climate list. Please note, all Whole Building projects must go Custom. The above rebates are for Part Building Heat Pumps only. </t>
  </si>
  <si>
    <t>Located in a Disadvantaged Community:</t>
  </si>
  <si>
    <t>https://www.nyserda.ny.gov/ny/disadvantaged-communities</t>
  </si>
  <si>
    <t>DAC</t>
  </si>
  <si>
    <t>Unsure</t>
  </si>
  <si>
    <t>4.16.24</t>
  </si>
  <si>
    <t>Cust Info Tab: Added dropdown for DAC Yes/No with link to NYSERDA Page</t>
  </si>
  <si>
    <t>Ref Tab: Added Table and Name Manager for DAC Yes/No</t>
  </si>
  <si>
    <t>Eligibility Table Tab: Updated Part Building Rebate Structure to reflect 600/ton, 750/Ton (Bonus Rebate), 900/Ton DAC Bonus Rebate</t>
  </si>
  <si>
    <t>V3_Draft12</t>
  </si>
  <si>
    <t>Calcs Tab: Updated Rebate formula to calculate based on Bonus Rebate and DAC Rebate</t>
  </si>
  <si>
    <t>Eligibility Table Tab: Added language regarding updated rebates and eligibility (Submitted after 4/1/24, and closing docs received by 11/1/24</t>
  </si>
  <si>
    <t>Locked and Final per Client Approval</t>
  </si>
  <si>
    <t>V3</t>
  </si>
  <si>
    <t>CEP HVAC References</t>
  </si>
  <si>
    <t>HVAC</t>
  </si>
  <si>
    <t>Proposed Equipment</t>
  </si>
  <si>
    <t>Baseline EER2</t>
  </si>
  <si>
    <t>Baseline SEER2</t>
  </si>
  <si>
    <t>&lt; 5.4 tons</t>
  </si>
  <si>
    <t>&gt;= 5.4 &amp;&lt; 11.25 tons</t>
  </si>
  <si>
    <t>&gt;=11.25 &amp; &lt; 20 tons</t>
  </si>
  <si>
    <t>&gt;=20 &amp; &lt; 63 tons</t>
  </si>
  <si>
    <t>&gt; 63 tons</t>
  </si>
  <si>
    <t>Proposed Equipment Type</t>
  </si>
  <si>
    <t>Equipment Size Range</t>
  </si>
  <si>
    <t>Gross Savings Algorithm Terms</t>
  </si>
  <si>
    <t>Term</t>
  </si>
  <si>
    <t>Value</t>
  </si>
  <si>
    <t>Reference</t>
  </si>
  <si>
    <t>Packaged Systems (Tier 1 and Tier 2)</t>
  </si>
  <si>
    <t>Split Systems (Tier 1 and Tier 2)</t>
  </si>
  <si>
    <t>NYS TRM v11 and PA SWE team's recommendation to convert from EER to EER2</t>
  </si>
  <si>
    <t xml:space="preserve"> --</t>
  </si>
  <si>
    <t>Federal Standards for C&amp;I equipment effective January 1, 2023</t>
  </si>
  <si>
    <t xml:space="preserve">Installed EER </t>
  </si>
  <si>
    <t>Project specific</t>
  </si>
  <si>
    <t>From individual project worksheet</t>
  </si>
  <si>
    <t>Installed SEER2</t>
  </si>
  <si>
    <t xml:space="preserve">Baseline EER </t>
  </si>
  <si>
    <t xml:space="preserve">NYS TRMv11 ratio of IEER to EER  = 1.15 </t>
  </si>
  <si>
    <t xml:space="preserve">Baseline IEER </t>
  </si>
  <si>
    <t>Federal Standards for C&amp;I equipment effective January 1, 2025 per 10 CFR Part 431 Subpart F Table 3 (Dec. 19, 2023)</t>
  </si>
  <si>
    <t xml:space="preserve">Installed IEER </t>
  </si>
  <si>
    <t xml:space="preserve">NYS TRMv11 ratio of IEER to EER  = 1.13 </t>
  </si>
  <si>
    <t>NYS TRMv11 ratio of IEER to EER  = 1.16</t>
  </si>
  <si>
    <t>NYS TRM v11</t>
  </si>
  <si>
    <t>Coincidence Factor for &lt;11.25 tons</t>
  </si>
  <si>
    <t>2011 NEEP Study on Commercial HVAC Load Shapes – New York Urban/Coastal Region</t>
  </si>
  <si>
    <t>Coincidence Factor for ≥11.25 tons</t>
  </si>
  <si>
    <t>Weighted Average Coincidence Factor for All Sizes</t>
  </si>
  <si>
    <t>Equivalent Full-Load Cooling Hours (EFLCH)</t>
  </si>
  <si>
    <t>From NYS TRMv11 based on building type for NYC</t>
  </si>
  <si>
    <t>(for Heating Section Type - Electric Resistance or None)</t>
  </si>
  <si>
    <t>(All Other)</t>
  </si>
  <si>
    <t>Heating Basline</t>
  </si>
  <si>
    <t>Baseline EER2 Electric/None</t>
  </si>
  <si>
    <t>Baseline IEER2</t>
  </si>
  <si>
    <t>Baseline IEER2 Electric/None</t>
  </si>
  <si>
    <t>Air Conditioners - Air Cooled (Packaged and Split Systems) - New or End-of-Life Replacement, Early Retirement</t>
  </si>
  <si>
    <t>EFLCH</t>
  </si>
  <si>
    <t>EFLHH</t>
  </si>
  <si>
    <t>Religious Worship</t>
  </si>
  <si>
    <t>Dormitory</t>
  </si>
  <si>
    <t>EER2 Minimum</t>
  </si>
  <si>
    <t>IEER Minimum</t>
  </si>
  <si>
    <t>HVAC Calculations</t>
  </si>
  <si>
    <t>Unit #</t>
  </si>
  <si>
    <t>Existing Equipment</t>
  </si>
  <si>
    <t>Existing Cooling Equipment</t>
  </si>
  <si>
    <t>Baseline IEER</t>
  </si>
  <si>
    <t>Proposed COP</t>
  </si>
  <si>
    <t>Proposed Tons</t>
  </si>
  <si>
    <t>Proposed Quantity</t>
  </si>
  <si>
    <t>COP Check</t>
  </si>
  <si>
    <t>Proposed IEER2</t>
  </si>
  <si>
    <t>Proposed EER2</t>
  </si>
  <si>
    <t>Proposed HSPF2</t>
  </si>
  <si>
    <t>IEER2 Check</t>
  </si>
  <si>
    <t>EER2 Check</t>
  </si>
  <si>
    <t>IEER2 Pass/Fail</t>
  </si>
  <si>
    <t>EER2 Pass/Fail</t>
  </si>
  <si>
    <t>Pass/Fail</t>
  </si>
  <si>
    <t>Buidling Type</t>
  </si>
  <si>
    <t>ELFCH</t>
  </si>
  <si>
    <t>kW</t>
  </si>
  <si>
    <t>kWhee</t>
  </si>
  <si>
    <t>kWhbe</t>
  </si>
  <si>
    <t>∆kWh</t>
  </si>
  <si>
    <t>MMBTUee</t>
  </si>
  <si>
    <t>MMBTUbe</t>
  </si>
  <si>
    <t>MMBTU Total</t>
  </si>
  <si>
    <t>Savings Calculations</t>
  </si>
  <si>
    <t>Rebate Calculation</t>
  </si>
  <si>
    <t>Rebate Level</t>
  </si>
  <si>
    <t>Calculated Rebate</t>
  </si>
  <si>
    <t>Actual Rebate</t>
  </si>
  <si>
    <t>Air Conditioners - Water &amp; Evaporatively Cooled - New or End-of-Life Replacement, Early Retirement</t>
  </si>
  <si>
    <t>Cooling Type</t>
  </si>
  <si>
    <t>Water Cooled</t>
  </si>
  <si>
    <t>2020 ECCCNY Chapter C4 Table C403.3.2(1)</t>
  </si>
  <si>
    <t>&gt;=63 tons</t>
  </si>
  <si>
    <t>Evaporatively Cooled</t>
  </si>
  <si>
    <t>Installed EER</t>
  </si>
  <si>
    <t>Sub Category2</t>
  </si>
  <si>
    <t>Equipment Size Range 2</t>
  </si>
  <si>
    <t>Tier 1 and Tier 2</t>
  </si>
  <si>
    <t>Federal Standards for C&amp;I equipment effective January 1, 2025 per 10 CFR Part 431 Subpart F Table 19 (Dec. 19, 2023)</t>
  </si>
  <si>
    <t>From project application</t>
  </si>
  <si>
    <t>Installed SEER</t>
  </si>
  <si>
    <t>From NYS TRMv10 Appendix G based on building type for NYC</t>
  </si>
  <si>
    <t>Ductless Mini-split Air Conditioners - New or End-of-Life Replacement, Early Retirement</t>
  </si>
  <si>
    <t>Packaged Terminal ACs (PTAC) - New or End-of-Life Replacement, Early Retirement</t>
  </si>
  <si>
    <t>Size Categorya</t>
  </si>
  <si>
    <t>Valueb (New/EOL)</t>
  </si>
  <si>
    <t>Value (Early Retirement)</t>
  </si>
  <si>
    <t>Standard Size, All Capacities</t>
  </si>
  <si>
    <t>Non-Standard Size, All Capacities</t>
  </si>
  <si>
    <t>Standard and Non-standard Size, All Capacities</t>
  </si>
  <si>
    <t>Based on Building Type per NYS TRM v11</t>
  </si>
  <si>
    <t>From NYS TRMv11 Appendix G based on building type for NYC</t>
  </si>
  <si>
    <t>&gt; 0.75 Tons &amp; &lt; 1 Ton</t>
  </si>
  <si>
    <t>&gt; 1 Ton</t>
  </si>
  <si>
    <t>COP Minimum</t>
  </si>
  <si>
    <t>Packaged Terminal Heat Pumps (PTHP) - New or End-of-Life Replacement, Early Retirement</t>
  </si>
  <si>
    <t>Valuec (New/EOL)</t>
  </si>
  <si>
    <t>Standard size, all capacities</t>
  </si>
  <si>
    <t>Installed COP</t>
  </si>
  <si>
    <t>Nonstandard size, all capacities</t>
  </si>
  <si>
    <t>FEH: Electric heating flag; used to account for the presence or absence of an electric heating system in the baseline case</t>
  </si>
  <si>
    <t>1 (if baseline heating is electric)
0 ( if baseline heating is fossil-fuel)</t>
  </si>
  <si>
    <t>Engineering Judgment</t>
  </si>
  <si>
    <t>FFFH: Fossil fuel heating flag; used to account for the presence or absence of a fossil fuel-fired heating system in the baseline case</t>
  </si>
  <si>
    <t>0 (if baseline heating is electric)
1 ( if baseline heating is fossil-fuel)</t>
  </si>
  <si>
    <t xml:space="preserve">NYS TRM V11 Commercial Fossil Fuel Fired Heating System Baseline Efficiencies  </t>
  </si>
  <si>
    <t>Equivalent Full-Load Cooling Hours (EFLHH)</t>
  </si>
  <si>
    <t>ηbase &lt; 300 kBtu/h</t>
  </si>
  <si>
    <t>ηbase &gt;= 300 kBtu/h</t>
  </si>
  <si>
    <t>ηbase: Baseline Fossil Fuel Efficiency (oil-fired steam boiler) (&lt;300 kBtu/h)</t>
  </si>
  <si>
    <t>ηbase: Baseline Fossil Fuel Efficiency (oil-fired steam boiler)(&gt;=300 kBtu/h)</t>
  </si>
  <si>
    <t>Baseline AFUE</t>
  </si>
  <si>
    <t>COP Pass/Fail</t>
  </si>
  <si>
    <t>Methodology</t>
  </si>
  <si>
    <t>Fff</t>
  </si>
  <si>
    <t>Feh</t>
  </si>
  <si>
    <t>kWhee cooling</t>
  </si>
  <si>
    <t>kWhee heating</t>
  </si>
  <si>
    <t>Part Buidling ccASHP Calculations</t>
  </si>
  <si>
    <t>Part Building ccASHP References</t>
  </si>
  <si>
    <t>Ductless Mini/Multi-split Heat Pumps - New or End-of-Life Replacement, Early Retirement</t>
  </si>
  <si>
    <t>95°F Rated Cooling Capacity</t>
  </si>
  <si>
    <t>17°F Rated Heating Capacity</t>
  </si>
  <si>
    <t>EER2</t>
  </si>
  <si>
    <t>SEER2</t>
  </si>
  <si>
    <t>HSPF2</t>
  </si>
  <si>
    <t>Man J Cooling</t>
  </si>
  <si>
    <t>Man J Heating</t>
  </si>
  <si>
    <t>Integrated Control Type</t>
  </si>
  <si>
    <t>Heating Range</t>
  </si>
  <si>
    <t>Cooling Pass</t>
  </si>
  <si>
    <t>Heating Pass</t>
  </si>
  <si>
    <t>Savings Variables</t>
  </si>
  <si>
    <t>Sizing Ratio</t>
  </si>
  <si>
    <r>
      <t>F</t>
    </r>
    <r>
      <rPr>
        <b/>
        <vertAlign val="subscript"/>
        <sz val="11"/>
        <color theme="0"/>
        <rFont val="Calibri"/>
        <family val="2"/>
        <scheme val="minor"/>
      </rPr>
      <t>ctrl</t>
    </r>
  </si>
  <si>
    <r>
      <t>F</t>
    </r>
    <r>
      <rPr>
        <b/>
        <vertAlign val="subscript"/>
        <sz val="11"/>
        <color theme="0"/>
        <rFont val="Calibri"/>
        <family val="2"/>
        <scheme val="minor"/>
      </rPr>
      <t>load.cooling</t>
    </r>
  </si>
  <si>
    <r>
      <t>F</t>
    </r>
    <r>
      <rPr>
        <b/>
        <vertAlign val="subscript"/>
        <sz val="11"/>
        <color theme="0"/>
        <rFont val="Calibri"/>
        <family val="2"/>
        <scheme val="minor"/>
      </rPr>
      <t>load.heating</t>
    </r>
  </si>
  <si>
    <r>
      <t>F</t>
    </r>
    <r>
      <rPr>
        <b/>
        <vertAlign val="subscript"/>
        <sz val="11"/>
        <color theme="0"/>
        <rFont val="Calibri"/>
        <family val="2"/>
        <scheme val="minor"/>
      </rPr>
      <t>HSPF</t>
    </r>
  </si>
  <si>
    <t>Existing Scenario</t>
  </si>
  <si>
    <t>Whole Building and Displacement</t>
  </si>
  <si>
    <t>Reasoning</t>
  </si>
  <si>
    <t>Existing Oil w/ no CAC</t>
  </si>
  <si>
    <t>Cooling Baseline</t>
  </si>
  <si>
    <t>CAC</t>
  </si>
  <si>
    <t>ASHP</t>
  </si>
  <si>
    <t>Site-specific (Early Retirement)
ASHP (New/EOL)</t>
  </si>
  <si>
    <t>Heating Baseline</t>
  </si>
  <si>
    <t>Oil-fired Warm-air Furnace</t>
  </si>
  <si>
    <t>Oil-fired Furnace/Boiler</t>
  </si>
  <si>
    <t>Site-specific (Early Retirement)
Oil-fired Furnace (New/EOL)</t>
  </si>
  <si>
    <t>BCL: Manual J building cooling load at design conditions (Planning only)</t>
  </si>
  <si>
    <t>Site specific</t>
  </si>
  <si>
    <t>BHL: Manual J building heating load at design conditions (Planning only)</t>
  </si>
  <si>
    <t>EER2base: Code Baseline EER</t>
  </si>
  <si>
    <t>SEER2base: Code Baseline SEER</t>
  </si>
  <si>
    <t xml:space="preserve">HSPFbase: Code Baseline HSPF </t>
  </si>
  <si>
    <t>FHSPF = HSPF Climate Adjustment Factor</t>
  </si>
  <si>
    <t>EERinstalled: Installed EER</t>
  </si>
  <si>
    <t>SEERAHRI: AHRI-rated SEER (@95F)</t>
  </si>
  <si>
    <t>HSPFAHRI: AHRI-rated HSPF (@ 17F)</t>
  </si>
  <si>
    <t>BEFLHcooling: Building equivalent full-load cooling hours</t>
  </si>
  <si>
    <t>Select based on facility type from BEFLH Table below</t>
  </si>
  <si>
    <t>BEFLHheating: Building equivalent full-load heating hours</t>
  </si>
  <si>
    <t>a: COPseason,ee equation coefficient</t>
  </si>
  <si>
    <t>Select based on scenario from Seasonal Heating and Cooling Efficiency Coefficients Table</t>
  </si>
  <si>
    <t>b: COPseason,ee equation coefficient</t>
  </si>
  <si>
    <t>c: EERseason,ee equation coefficient</t>
  </si>
  <si>
    <t>d: EERseason,ee equation coefficient</t>
  </si>
  <si>
    <t>FEH,new: Supplemental electric resistance heating presence flag</t>
  </si>
  <si>
    <t>Site-specific. If proposed supplemental heating equipment is electric resistance, then FEH,new = 1. Else, FEH,new = 0</t>
  </si>
  <si>
    <t>Site specific, NYS TRM v11</t>
  </si>
  <si>
    <t>Fload,cooling: Heating load factor</t>
  </si>
  <si>
    <t>Select based on scenario from Fractional Heating and Cooling Load Table</t>
  </si>
  <si>
    <t>Fload,heating: Cooling load factor</t>
  </si>
  <si>
    <t xml:space="preserve">Fctrl: Control Factor </t>
  </si>
  <si>
    <t xml:space="preserve">Select from Optional Control Features Table </t>
  </si>
  <si>
    <t>Effbase: Baseline Fossil Fuel Efficiency (gas-fired warm air furnace)</t>
  </si>
  <si>
    <t>Effbase: Baseline Fossil Fuel Efficiency (gas-fired hot water boiler)</t>
  </si>
  <si>
    <t>Effbase: Baseline Fossil Fuel Efficiency (gas-fired steam boiler)</t>
  </si>
  <si>
    <t>Effbase: Baseline Fossil Fuel Efficiency (oil-fired hot water boiler)</t>
  </si>
  <si>
    <t>Effbase: Baseline Fossil Fuel Efficiency (oil-fired steam boiler)</t>
  </si>
  <si>
    <t>Effbase: Baseline Fossil Fuel Efficiency (oil-fired warm air furnace)</t>
  </si>
  <si>
    <t>ASHP Type</t>
  </si>
  <si>
    <t>Application</t>
  </si>
  <si>
    <t>Controls</t>
  </si>
  <si>
    <t>HP Sizing Ratio</t>
  </si>
  <si>
    <t>Fload,heating</t>
  </si>
  <si>
    <t>Fload,cooling</t>
  </si>
  <si>
    <t>Central, Ducted</t>
  </si>
  <si>
    <t>Whole</t>
  </si>
  <si>
    <t>Integrated/ Modulating</t>
  </si>
  <si>
    <t>1a</t>
  </si>
  <si>
    <t>Integrated/ Fixed capacity</t>
  </si>
  <si>
    <t>1b</t>
  </si>
  <si>
    <t>DF/Either HP or Furnace</t>
  </si>
  <si>
    <t>1c</t>
  </si>
  <si>
    <t>1d</t>
  </si>
  <si>
    <t>Single-zone Ductless</t>
  </si>
  <si>
    <t>Displace</t>
  </si>
  <si>
    <t>Separate</t>
  </si>
  <si>
    <t>Integrated/ Fixed Capacity</t>
  </si>
  <si>
    <t>2d</t>
  </si>
  <si>
    <t>2e</t>
  </si>
  <si>
    <t>2f</t>
  </si>
  <si>
    <t>2g</t>
  </si>
  <si>
    <t>2h</t>
  </si>
  <si>
    <t>Multi-zone Ductless</t>
  </si>
  <si>
    <t>3b</t>
  </si>
  <si>
    <t>3c</t>
  </si>
  <si>
    <t>Single-zone Compact Ducted</t>
  </si>
  <si>
    <t>4c</t>
  </si>
  <si>
    <t>4d</t>
  </si>
  <si>
    <t>Building Equivalent Full Load Hours (BEFLH) Values from NYS TRMv11 for New York City</t>
  </si>
  <si>
    <t>BEFLHcooling</t>
  </si>
  <si>
    <t>BEFLHheating</t>
  </si>
  <si>
    <t>Control Factors (Fctrl) for Optional Control Features for New York City Per NYS TRM V11  (Fctrl = 1.0 for default controls)</t>
  </si>
  <si>
    <t>Whole or Full Load Scenarios</t>
  </si>
  <si>
    <t>HP Sizing Parameter</t>
  </si>
  <si>
    <t>Changeover Tdes+5°F</t>
  </si>
  <si>
    <t>Centrally Ducted
(Scenarios 1a and 1d)</t>
  </si>
  <si>
    <t>Ductless Mini-Spilt
(Scenarios 2g and 2h)</t>
  </si>
  <si>
    <t>Ductless Multi-Splits
(Scenarios 3b and 3c)</t>
  </si>
  <si>
    <t>Compact Ducted
Scenarios 4c and 4d)</t>
  </si>
  <si>
    <t>Effbase: Oil Average</t>
  </si>
  <si>
    <t>Effbase: Gas Average</t>
  </si>
  <si>
    <t>Average Oil AFUE</t>
  </si>
  <si>
    <t>Average Gas AFUE</t>
  </si>
  <si>
    <t>Natural Gas</t>
  </si>
  <si>
    <t>Existing Cooling Type</t>
  </si>
  <si>
    <t>AO</t>
  </si>
  <si>
    <t>OC</t>
  </si>
  <si>
    <t>NC</t>
  </si>
  <si>
    <t>EER2 Baseline</t>
  </si>
  <si>
    <t>SEER2 Baseline</t>
  </si>
  <si>
    <t>HSPF2 Baseline</t>
  </si>
  <si>
    <t>FHSPF</t>
  </si>
  <si>
    <t>TRM Scenario</t>
  </si>
  <si>
    <r>
      <t>EER</t>
    </r>
    <r>
      <rPr>
        <b/>
        <vertAlign val="subscript"/>
        <sz val="11"/>
        <color theme="0"/>
        <rFont val="Calibri"/>
        <family val="2"/>
        <scheme val="minor"/>
      </rPr>
      <t>season,ee</t>
    </r>
  </si>
  <si>
    <r>
      <t>COP</t>
    </r>
    <r>
      <rPr>
        <b/>
        <vertAlign val="subscript"/>
        <sz val="11"/>
        <color theme="0"/>
        <rFont val="Calibri"/>
        <family val="2"/>
        <scheme val="minor"/>
      </rPr>
      <t>season,baseline</t>
    </r>
  </si>
  <si>
    <r>
      <t>COP</t>
    </r>
    <r>
      <rPr>
        <b/>
        <vertAlign val="subscript"/>
        <sz val="11"/>
        <color theme="0"/>
        <rFont val="Calibri"/>
        <family val="2"/>
        <scheme val="minor"/>
      </rPr>
      <t>season,ee</t>
    </r>
  </si>
  <si>
    <t>Ductless Mini-Split Cold Climate Heat Pump - CCHP101-NC</t>
  </si>
  <si>
    <t>Ductless Mini-Split Cold Climate Heat Pump - CCHP101-OC</t>
  </si>
  <si>
    <t>Ductless Mini-Split Cold Climate Heat Pump - CCHP101-AO</t>
  </si>
  <si>
    <t>Ductless Multi-Split Cold Climate Heat Pump - CCHP151-NC</t>
  </si>
  <si>
    <t>Ductless Multi-Split Cold Climate Heat Pump - CCHP151-OC</t>
  </si>
  <si>
    <t>Ductless Multi-Split Cold Climate Heat Pump - CCHP151-AO</t>
  </si>
  <si>
    <t>Ducted Cold Climate Heat Pump - CCHP211-NC</t>
  </si>
  <si>
    <t>Ducted Cold Climate Heat Pump - CCHP211-OC</t>
  </si>
  <si>
    <t>Ducted Cold Climate Heat Pump - CCHP211-AO</t>
  </si>
  <si>
    <t>Ductless Mini-Split Cold Climate Heat Pumps NC</t>
  </si>
  <si>
    <t>Ductless Mini-Split Cold Climate Heat Pumps OC</t>
  </si>
  <si>
    <t>Ductless Mini-Split Cold Climate Heat Pumps AO</t>
  </si>
  <si>
    <t>Ductless Multi-Split Cold Climate Heat Pumps NC</t>
  </si>
  <si>
    <t>Ductless Multi-Split Cold Climate Heat Pumps OC</t>
  </si>
  <si>
    <t>Ductless Multi-Split Cold Climate Heat Pumps AO</t>
  </si>
  <si>
    <t>New Equipment Scenario</t>
  </si>
  <si>
    <t>Cold Climate Air Source Heat Pumps NC</t>
  </si>
  <si>
    <t>Cold Climate Air Source Heat Pumps OC</t>
  </si>
  <si>
    <t>Cold Climate Air Source Heat Pumps AO</t>
  </si>
  <si>
    <t>Normal</t>
  </si>
  <si>
    <t>25% Bonus</t>
  </si>
  <si>
    <t>50% DAC Bonus</t>
  </si>
  <si>
    <t>Rated Fan Wattage</t>
  </si>
  <si>
    <t>Exhaust Fan Efficiency</t>
  </si>
  <si>
    <t>CEP 2024 PSEG-LI TRM Gross Savings Algorithm Terms</t>
  </si>
  <si>
    <t>CFM; Volume of supply air</t>
  </si>
  <si>
    <t>NY TRMv11</t>
  </si>
  <si>
    <t>Effhx,total; Total effectiveness of heat exchanger per rating in accordance with AHRI Standard 1060</t>
  </si>
  <si>
    <t xml:space="preserve"> ΔH ,  Outside Air Minus Inside Air Enthalpy </t>
  </si>
  <si>
    <t>EffElecCool; Seasonal average energy efficiency (SEER) of electric cooling equipment</t>
  </si>
  <si>
    <t xml:space="preserve">Wfan,ee; Total rated wattage of ERV/HRV supply and exhaust fans </t>
  </si>
  <si>
    <t xml:space="preserve">Efffan,baseline; Base case exhauset fan efficiency </t>
  </si>
  <si>
    <t>days; Days per Year of Facility operation</t>
  </si>
  <si>
    <t>hrs/day; Average daily run time, in hours, when ERV is in recovery mode</t>
  </si>
  <si>
    <t xml:space="preserve">EffFuelHeat = Efficiency of fossil fuel heating equipment </t>
  </si>
  <si>
    <t>HDD; Heating Degree Days</t>
  </si>
  <si>
    <t>HDD65 MacArthur Airport 1991-2020</t>
  </si>
  <si>
    <t>Effhx,sens; Sensible effectiveness of heat exchanger per rating in accordance with AHRI Standard 1060</t>
  </si>
  <si>
    <t xml:space="preserve">EffElecHeat; Seasonal average energy efficiency (HSPF) of electric heating equipment. </t>
  </si>
  <si>
    <t>FElecHeat; Electric heating factor, used to account for the presence or absence of an electric heating system</t>
  </si>
  <si>
    <t xml:space="preserve"> =1 if Electric Heat
 = 0 if no electric heat</t>
  </si>
  <si>
    <t>FFuelHeat; Fuel heating factor, used to account for the presence or absence of a fuel heating system</t>
  </si>
  <si>
    <t xml:space="preserve"> =1 if fuel Heat
 = 0 if no fuel heat</t>
  </si>
  <si>
    <t>FElecCool;  Used to account for the presence or absence of a central electric cooling system</t>
  </si>
  <si>
    <t xml:space="preserve"> =1 if central electric cooling
 = 0 if no central electric cooling</t>
  </si>
  <si>
    <t>Conversion factor from inches of water to pounds per square ft (lb/sq.ft)</t>
  </si>
  <si>
    <t>Specific heat of air × density of inlet air @ 70°F × 60 min/hr309 in BTU/h-ºF-CFM</t>
  </si>
  <si>
    <t>CF; Coincidence Factor</t>
  </si>
  <si>
    <t>Same</t>
  </si>
  <si>
    <t>CDD; Cooling Degree Days</t>
  </si>
  <si>
    <t>CDD65 MacArthur Airport 1991-2020</t>
  </si>
  <si>
    <t>CFM</t>
  </si>
  <si>
    <t>Existing Cooling Equipment Size</t>
  </si>
  <si>
    <t>Existing SEER</t>
  </si>
  <si>
    <t>Existing HSPF</t>
  </si>
  <si>
    <t>Existing AFUE</t>
  </si>
  <si>
    <t>Existing Conditions</t>
  </si>
  <si>
    <t>CDD</t>
  </si>
  <si>
    <t>HDD</t>
  </si>
  <si>
    <r>
      <t>F</t>
    </r>
    <r>
      <rPr>
        <b/>
        <vertAlign val="subscript"/>
        <sz val="11"/>
        <color theme="0"/>
        <rFont val="Calibri"/>
        <family val="2"/>
        <scheme val="minor"/>
      </rPr>
      <t>ElecCool</t>
    </r>
  </si>
  <si>
    <r>
      <t>F</t>
    </r>
    <r>
      <rPr>
        <b/>
        <vertAlign val="subscript"/>
        <sz val="11"/>
        <color theme="0"/>
        <rFont val="Calibri"/>
        <family val="2"/>
        <scheme val="minor"/>
      </rPr>
      <t>ElecHeat</t>
    </r>
  </si>
  <si>
    <r>
      <t>F</t>
    </r>
    <r>
      <rPr>
        <b/>
        <vertAlign val="subscript"/>
        <sz val="11"/>
        <color theme="0"/>
        <rFont val="Calibri"/>
        <family val="2"/>
        <scheme val="minor"/>
      </rPr>
      <t>FuelHeat</t>
    </r>
  </si>
  <si>
    <t>kWhcooling</t>
  </si>
  <si>
    <t>kWhheating</t>
  </si>
  <si>
    <t>kWhfan</t>
  </si>
  <si>
    <t>EFLHC</t>
  </si>
  <si>
    <t>High-Volume Low Speed (HVLS) Fan</t>
  </si>
  <si>
    <t>Unitsbase: Number of fans in baseline condition</t>
  </si>
  <si>
    <t>From application
For new applications, assume 5 * Unitsee</t>
  </si>
  <si>
    <t>Unitsee: Number of fans installed</t>
  </si>
  <si>
    <t>From application</t>
  </si>
  <si>
    <t>lbfbase: Baseline fan thrust, in pounds-force</t>
  </si>
  <si>
    <t>Lookup from BESS Labs database based on model number. If unavailable, use lbfee</t>
  </si>
  <si>
    <t>lbfee: Efficient fan thrust, in pounds-force</t>
  </si>
  <si>
    <t>(lbf/kW)base: Baseline fan thrust efficiency ratio</t>
  </si>
  <si>
    <t>Lookup from BESS Labs database based on model number. If unavailable, use table below based on fan diameter</t>
  </si>
  <si>
    <t>(lbf/kW)ee: Efficient fan thrust efficiency ratio</t>
  </si>
  <si>
    <t>Lookup from BESS Labs database based on model number.</t>
  </si>
  <si>
    <t>FVFD,ee: Factor to account for reduced consumption resultant from VFD control</t>
  </si>
  <si>
    <t>No VFD: 1.0
VFD (Greenouse): 0.64
VFD (Other): 0.75</t>
  </si>
  <si>
    <t>Hrs: Annual operating hours</t>
  </si>
  <si>
    <t>CF: Coincidence factor</t>
  </si>
  <si>
    <t>Baseline Fan thrust efficiency ratio, per NYS TRMv11</t>
  </si>
  <si>
    <t>Fan Diameter</t>
  </si>
  <si>
    <t>Circulating Fans (lbf/kW)</t>
  </si>
  <si>
    <t>FVFD,EE</t>
  </si>
  <si>
    <r>
      <t>lbf/fan</t>
    </r>
    <r>
      <rPr>
        <b/>
        <vertAlign val="subscript"/>
        <sz val="11"/>
        <color theme="0"/>
        <rFont val="Calibri"/>
        <family val="2"/>
        <scheme val="minor"/>
      </rPr>
      <t>baseline</t>
    </r>
  </si>
  <si>
    <r>
      <t>Fan lbf/kW</t>
    </r>
    <r>
      <rPr>
        <b/>
        <vertAlign val="subscript"/>
        <sz val="11"/>
        <color theme="0"/>
        <rFont val="Calibri"/>
        <family val="2"/>
        <scheme val="minor"/>
      </rPr>
      <t>baseline</t>
    </r>
  </si>
  <si>
    <t>Operating Hours/Day</t>
  </si>
  <si>
    <t>Operating Days/Year</t>
  </si>
  <si>
    <t>8.21.24</t>
  </si>
  <si>
    <t>Created and updated new Calculations and references tabs for HVAC, Part building ccASHP, ERV/HRV &amp; HVLS Fans</t>
  </si>
  <si>
    <t>V1.0_D5</t>
  </si>
  <si>
    <t>Created 2025 Version 1.0</t>
  </si>
  <si>
    <t>EFLH Values from NYS TRMv11 for New York City</t>
  </si>
  <si>
    <t>Deleted old references and calultion tabs. Deleted old inspection form tabs and old summary tab</t>
  </si>
  <si>
    <t>V1.0_D6</t>
  </si>
  <si>
    <t>Cooling &amp; Controls</t>
  </si>
  <si>
    <t>Cooling HVAC Equipment - CEP405</t>
  </si>
  <si>
    <t>Integrated/Fixed Capacity Control</t>
  </si>
  <si>
    <t>Cooling HVAC Equipment - CEP406</t>
  </si>
  <si>
    <t>Cooling HVAC Equipment - CEP410</t>
  </si>
  <si>
    <t>Product</t>
  </si>
  <si>
    <t>Rebate Level 2</t>
  </si>
  <si>
    <t>Rebate Calculations</t>
  </si>
  <si>
    <t>24" - 35" Diameter</t>
  </si>
  <si>
    <t>36" - 47" Diameter</t>
  </si>
  <si>
    <t>8.22.24</t>
  </si>
  <si>
    <t>Fixed HVAC &amp; ccASHP Worksheets &amp; Summary sections</t>
  </si>
  <si>
    <t>V1.0_D7</t>
  </si>
  <si>
    <t>Finished Ventilation calculations and summary tab updates</t>
  </si>
  <si>
    <t>V1.0_D8</t>
  </si>
  <si>
    <t>Cost</t>
  </si>
  <si>
    <t>Estimated Rebate</t>
  </si>
  <si>
    <t>Horse Power of Exhaust Fan</t>
  </si>
  <si>
    <t>KDCV reduces ventilation and heating
loads by controlling mechanical ventilation in response to cooking activities.</t>
  </si>
  <si>
    <t>$560/Unit</t>
  </si>
  <si>
    <t>K200</t>
  </si>
  <si>
    <t>Must be replacing a kitchen exhaust hood fan with manual or automatic on/off control and constant volume exhaust fans</t>
  </si>
  <si>
    <t>Kitchen Demand Control Ventilation (KDCV)</t>
  </si>
  <si>
    <t>hp: Horsepower of exhaust fan</t>
  </si>
  <si>
    <t>(ΔkW/hp): Demand savings per controlled motor horsepower</t>
  </si>
  <si>
    <t>(ΔkWh/hp): Energy savings per controlled motor horsepower</t>
  </si>
  <si>
    <t>(ΔMMBtu/hp): Fuel savings per controlled motor horsepower</t>
  </si>
  <si>
    <t>Fan HP</t>
  </si>
  <si>
    <t>ΔkW/hp</t>
  </si>
  <si>
    <t>ΔkWh/hp</t>
  </si>
  <si>
    <t>ΔMMBtu/hp</t>
  </si>
  <si>
    <t>8.23.24</t>
  </si>
  <si>
    <t>Added Kitchen demand control ventilation to eligibility table under ventilation</t>
  </si>
  <si>
    <t>Added KDCV to ventilation tab</t>
  </si>
  <si>
    <t>V1.0_D9</t>
  </si>
  <si>
    <t xml:space="preserve">Required Documents Check Sheet          </t>
  </si>
  <si>
    <t>Guidelines</t>
  </si>
  <si>
    <t>Terms and Conditions</t>
  </si>
  <si>
    <t>Air Conditioning and Heat Pump Eligibility Tables</t>
  </si>
  <si>
    <t>8.26.24</t>
  </si>
  <si>
    <t>Misc Formatting Updates</t>
  </si>
  <si>
    <t>V1.0_D10</t>
  </si>
  <si>
    <t>8.29.24</t>
  </si>
  <si>
    <t>Added converted eekWh to MMBTUee formula for ERV/HRV</t>
  </si>
  <si>
    <t>V1.0_D11</t>
  </si>
  <si>
    <t>9.4.24</t>
  </si>
  <si>
    <t>Added clacs to remaining rows for KDCV</t>
  </si>
  <si>
    <t>V1.0_D12</t>
  </si>
  <si>
    <t>KDCV</t>
  </si>
  <si>
    <t>Disadvantaged Community Rebate $/kWh</t>
  </si>
  <si>
    <t>Disadvantaged Community Rebate $/ton</t>
  </si>
  <si>
    <t>Disadvantaged Community Rebate $/ton*</t>
  </si>
  <si>
    <t>Disadvantaged Community Rebate</t>
  </si>
  <si>
    <t>$90/100CFM</t>
  </si>
  <si>
    <t>$75/100CFM</t>
  </si>
  <si>
    <t>$65/ Ft. Diameter</t>
  </si>
  <si>
    <t>$700/Unit</t>
  </si>
  <si>
    <t>Disadvantaged Community (DAC) rebates are available to customers who are located within a Disadvantaged Community; refer to the Disadvantaged Community dropdown on the Customer Information tab
PSEG Long Island will make the final determination if a customer is located within a Disadvantaged Community</t>
  </si>
  <si>
    <t>10.29.24</t>
  </si>
  <si>
    <t>Eligbility Tab: Added DAC Rebate columns - 25% above standard rebates</t>
  </si>
  <si>
    <t>V1.0_Draft13</t>
  </si>
  <si>
    <t>DAC Rebate</t>
  </si>
  <si>
    <t>10.30.24</t>
  </si>
  <si>
    <t>HVAC References: Added 25% DAC rebate logic to HVAC, ERV,HRV, HVLS, KCDV.</t>
  </si>
  <si>
    <t xml:space="preserve">Replaced 50% DAC logic for part Build ccASHP with 25% DAC bonus </t>
  </si>
  <si>
    <t>V1.0_D14</t>
  </si>
  <si>
    <t>NYS TRM V12</t>
  </si>
  <si>
    <t>Updated Deemed HVAC baselines AFUE with NYS TRM V12 Avg values</t>
  </si>
  <si>
    <t>Part Build ccASHP Tab:</t>
  </si>
  <si>
    <t>Updated Building type dropdown</t>
  </si>
  <si>
    <t>HVAC Calcs:</t>
  </si>
  <si>
    <t>11.12.24</t>
  </si>
  <si>
    <t>V1.0_D15</t>
  </si>
  <si>
    <t>Part Building ccASHP:</t>
  </si>
  <si>
    <t>Added new dropdown building list for this measure on the tab</t>
  </si>
  <si>
    <t>Total Savings</t>
  </si>
  <si>
    <t>kWh</t>
  </si>
  <si>
    <t>MMBTU</t>
  </si>
  <si>
    <t>Total Estimated Rebate Amount:</t>
  </si>
  <si>
    <t>11.13.24</t>
  </si>
  <si>
    <t>Added per unit and total savings for HVAC, HVLS Fan and KDCV</t>
  </si>
  <si>
    <t>Cust info:</t>
  </si>
  <si>
    <t>Added autofill rebate section replacing the manually entered rebate</t>
  </si>
  <si>
    <t>V1.0_D16</t>
  </si>
  <si>
    <t>12.5.24</t>
  </si>
  <si>
    <t>Calcs:</t>
  </si>
  <si>
    <t>Updated PTHP Rebate logic to multiply by quantity</t>
  </si>
  <si>
    <t>V1.0_D17</t>
  </si>
  <si>
    <t>12.12.24</t>
  </si>
  <si>
    <t>Summary Tab:</t>
  </si>
  <si>
    <t>Updated per unit MMBTU calcs to references the correct cell</t>
  </si>
  <si>
    <t>Updated PTHP eekWh reference to eekWh rather then Delta kWh</t>
  </si>
  <si>
    <t>V1.0_D18</t>
  </si>
  <si>
    <t>SEER / IEER (Required)</t>
  </si>
  <si>
    <t>HSPF (Required Only for Electric Heating)</t>
  </si>
  <si>
    <t>Boiler / Furnace AFUE (Required Only for Fossil Fuel Heating)</t>
  </si>
  <si>
    <t>Ventilation Tab:</t>
  </si>
  <si>
    <t>ERV/HRV SEER/IEER &amp; AFUe now required fields</t>
  </si>
  <si>
    <t>Project must be started after 1/1/2025 and completed within 180 days for existing buildings and 365 days for new construction, where there is a vacant lot at time of application submittal.</t>
  </si>
  <si>
    <t>Applications must be saved as:  25HVACWor_&lt;&lt;&lt;customer Name&gt;&gt;MMDDYYYY.xls</t>
  </si>
  <si>
    <t>12.23.24</t>
  </si>
  <si>
    <t>V1.0</t>
  </si>
  <si>
    <t>"DAC" may be eligible for up to 25% increased rebates</t>
  </si>
  <si>
    <t xml:space="preserve">If customer is located in a Disadvantaged Community "DAC", Customer may be eligible for up to 25% increased rebates. "DAC" final determination will be made by PSEG Long Island. </t>
  </si>
  <si>
    <t>Savings Capacity Caps</t>
  </si>
  <si>
    <t>NYS TRM V11</t>
  </si>
  <si>
    <t>Tons Caped?</t>
  </si>
  <si>
    <t>3.20.25</t>
  </si>
  <si>
    <t>V1.1 Created</t>
  </si>
  <si>
    <t>Calculations:</t>
  </si>
  <si>
    <t>Fixed kWheeCooling&amp;Heating formulas to match NYS TRM formula. DSA formula had 12 in the numerator in error NYS had a 1 in the numerator</t>
  </si>
  <si>
    <t>Fixed EER &amp; COP baseline calculations. Added in clause to cap capacity between 7k and 15k for savings calculations</t>
  </si>
  <si>
    <t>V1.1_D1</t>
  </si>
  <si>
    <t>4.1.25</t>
  </si>
  <si>
    <t>3.25.25</t>
  </si>
  <si>
    <t>V1.1 chnaged to V2.0 for Q2 release</t>
  </si>
  <si>
    <t>Part Building Tab:</t>
  </si>
  <si>
    <t>Fixed bug with No Fossil Fuel Heating IC type that still gave $500 rebate</t>
  </si>
  <si>
    <t>V2.0_D1</t>
  </si>
  <si>
    <t>Locked for PSEG Review</t>
  </si>
  <si>
    <t>https://www.psegliny.com/en/businessandcontractorservices/businessandcommercialsavings/rebates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</si>
</sst>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
    <numFmt numFmtId="166" formatCode="0.0"/>
    <numFmt numFmtId="167" formatCode="0.000"/>
    <numFmt numFmtId="168" formatCode="[$-409]mmmm\ d\,\ yyyy;@"/>
    <numFmt numFmtId="169" formatCode="&quot;$&quot;#,##0"/>
    <numFmt numFmtId="170" formatCode="#,##0.0"/>
    <numFmt numFmtId="171" formatCode="#,##0.000"/>
    <numFmt numFmtId="172" formatCode="&quot;$&quot;#,##0.00"/>
    <numFmt numFmtId="173" formatCode="[&lt;=9999999]###\-####;\(###\)\ ###\-####"/>
    <numFmt numFmtId="174" formatCode="0.000000"/>
    <numFmt numFmtId="175" formatCode="#,##0.00000"/>
    <numFmt numFmtId="176" formatCode="_(* #,##0_);_(* \(#,##0\);_(* &quot;-&quot;??_);_(@_)"/>
    <numFmt numFmtId="177" formatCode="_(* #,##0.0_);_(* \(#,##0.0\);_(* &quot;-&quot;??_);_(@_)"/>
    <numFmt numFmtId="178" formatCode="###0.000;###0.000"/>
    <numFmt numFmtId="179" formatCode="###0.000"/>
    <numFmt numFmtId="180" formatCode="###0;###0"/>
    <numFmt numFmtId="181" formatCode="_(* #,##0.0000_);_(* \(#,##0.0000\);_(* &quot;-&quot;??_);_(@_)"/>
  </numFmts>
  <fonts count="132" x14ac:knownFonts="1">
    <font>
      <sz val="11"/>
      <color theme="1"/>
      <name val="Calibri"/>
      <family val="2"/>
      <scheme val="minor"/>
    </font>
    <font>
      <sz val="11"/>
      <color indexed="8"/>
      <name val="Calibri"/>
      <family val="2"/>
    </font>
    <font>
      <sz val="10"/>
      <name val="Arial"/>
      <family val="2"/>
    </font>
    <font>
      <sz val="12"/>
      <name val="Arial Narrow"/>
      <family val="2"/>
    </font>
    <font>
      <sz val="11"/>
      <name val="Arial Narrow"/>
      <family val="2"/>
    </font>
    <font>
      <b/>
      <sz val="10"/>
      <name val="Arial Narrow"/>
      <family val="2"/>
    </font>
    <font>
      <sz val="10"/>
      <name val="Arial"/>
      <family val="2"/>
    </font>
    <font>
      <sz val="10"/>
      <name val="Arial Narrow"/>
      <family val="2"/>
    </font>
    <font>
      <b/>
      <sz val="8"/>
      <name val="Arial Narrow"/>
      <family val="2"/>
    </font>
    <font>
      <sz val="8"/>
      <name val="Arial Narrow"/>
      <family val="2"/>
    </font>
    <font>
      <i/>
      <sz val="10"/>
      <color indexed="10"/>
      <name val="Arial Narrow"/>
      <family val="2"/>
    </font>
    <font>
      <u/>
      <sz val="12"/>
      <name val="Arial Narrow"/>
      <family val="2"/>
    </font>
    <font>
      <sz val="7"/>
      <name val="Arial Narrow"/>
      <family val="2"/>
    </font>
    <font>
      <b/>
      <sz val="11"/>
      <name val="Arial Narrow"/>
      <family val="2"/>
    </font>
    <font>
      <sz val="14"/>
      <name val="Arial Narrow"/>
      <family val="2"/>
    </font>
    <font>
      <i/>
      <sz val="12"/>
      <name val="Arial Narrow"/>
      <family val="2"/>
    </font>
    <font>
      <sz val="12"/>
      <color indexed="8"/>
      <name val="Arial Narrow"/>
      <family val="2"/>
    </font>
    <font>
      <sz val="12"/>
      <color indexed="8"/>
      <name val="Arial"/>
      <family val="2"/>
    </font>
    <font>
      <b/>
      <sz val="14"/>
      <name val="Arial Narrow"/>
      <family val="2"/>
    </font>
    <font>
      <b/>
      <sz val="12"/>
      <name val="Arial Narrow"/>
      <family val="2"/>
    </font>
    <font>
      <sz val="12"/>
      <color indexed="8"/>
      <name val="Calibri"/>
      <family val="2"/>
    </font>
    <font>
      <i/>
      <sz val="18"/>
      <name val="Times New Roman"/>
      <family val="1"/>
    </font>
    <font>
      <b/>
      <sz val="24"/>
      <name val="Times New Roman"/>
      <family val="1"/>
    </font>
    <font>
      <b/>
      <sz val="18"/>
      <color indexed="9"/>
      <name val="Arial Narrow"/>
      <family val="2"/>
    </font>
    <font>
      <sz val="10"/>
      <name val="Calibri"/>
      <family val="2"/>
    </font>
    <font>
      <sz val="9"/>
      <name val="Arial Narrow"/>
      <family val="2"/>
    </font>
    <font>
      <i/>
      <sz val="10"/>
      <name val="Arial Narrow"/>
      <family val="2"/>
    </font>
    <font>
      <b/>
      <sz val="9"/>
      <color indexed="81"/>
      <name val="Tahoma"/>
      <family val="2"/>
    </font>
    <font>
      <sz val="9"/>
      <color indexed="81"/>
      <name val="Tahoma"/>
      <family val="2"/>
    </font>
    <font>
      <u/>
      <sz val="11"/>
      <name val="Arial Narrow"/>
      <family val="2"/>
    </font>
    <font>
      <b/>
      <sz val="11"/>
      <color indexed="8"/>
      <name val="Arial Narrow"/>
      <family val="2"/>
    </font>
    <font>
      <b/>
      <sz val="9"/>
      <color indexed="8"/>
      <name val="Arial Narrow"/>
      <family val="2"/>
    </font>
    <font>
      <b/>
      <sz val="8"/>
      <color indexed="8"/>
      <name val="Arial Narrow"/>
      <family val="2"/>
    </font>
    <font>
      <b/>
      <vertAlign val="superscript"/>
      <sz val="8"/>
      <color indexed="8"/>
      <name val="Arial Narrow"/>
      <family val="2"/>
    </font>
    <font>
      <b/>
      <i/>
      <sz val="8"/>
      <color indexed="8"/>
      <name val="Arial Narrow"/>
      <family val="2"/>
    </font>
    <font>
      <vertAlign val="superscript"/>
      <sz val="12"/>
      <color indexed="8"/>
      <name val="Arial Narrow"/>
      <family val="2"/>
    </font>
    <font>
      <sz val="11"/>
      <color indexed="8"/>
      <name val="Arial Narrow"/>
      <family val="2"/>
    </font>
    <font>
      <sz val="11"/>
      <color theme="1"/>
      <name val="Calibri"/>
      <family val="2"/>
      <scheme val="minor"/>
    </font>
    <font>
      <b/>
      <sz val="11"/>
      <color theme="0"/>
      <name val="Calibri"/>
      <family val="2"/>
      <scheme val="minor"/>
    </font>
    <font>
      <u/>
      <sz val="11"/>
      <color theme="10"/>
      <name val="Calibri"/>
      <family val="2"/>
    </font>
    <font>
      <u/>
      <sz val="11"/>
      <color theme="10"/>
      <name val="Calibri"/>
      <family val="2"/>
      <scheme val="minor"/>
    </font>
    <font>
      <u/>
      <sz val="14.3"/>
      <color theme="10"/>
      <name val="Calibri"/>
      <family val="2"/>
    </font>
    <font>
      <sz val="11"/>
      <color theme="1"/>
      <name val="Arial Narrow"/>
      <family val="2"/>
    </font>
    <font>
      <sz val="10"/>
      <color theme="1"/>
      <name val="Arial Narrow"/>
      <family val="2"/>
    </font>
    <font>
      <b/>
      <sz val="10"/>
      <color theme="1"/>
      <name val="Arial Narrow"/>
      <family val="2"/>
    </font>
    <font>
      <sz val="12"/>
      <color theme="1"/>
      <name val="Arial Narrow"/>
      <family val="2"/>
    </font>
    <font>
      <b/>
      <sz val="12"/>
      <color theme="1"/>
      <name val="Arial Narrow"/>
      <family val="2"/>
    </font>
    <font>
      <i/>
      <sz val="12"/>
      <color theme="1"/>
      <name val="Arial Narrow"/>
      <family val="2"/>
    </font>
    <font>
      <b/>
      <sz val="14"/>
      <color rgb="FF00B050"/>
      <name val="Arial Narrow"/>
      <family val="2"/>
    </font>
    <font>
      <b/>
      <sz val="14"/>
      <color theme="0"/>
      <name val="Arial Narrow"/>
      <family val="2"/>
    </font>
    <font>
      <b/>
      <sz val="14"/>
      <color rgb="FF0054CC"/>
      <name val="Arial Narrow"/>
      <family val="2"/>
    </font>
    <font>
      <sz val="11"/>
      <color rgb="FF0070C0"/>
      <name val="Arial Narrow"/>
      <family val="2"/>
    </font>
    <font>
      <b/>
      <sz val="10"/>
      <color theme="0"/>
      <name val="Arial Narrow"/>
      <family val="2"/>
    </font>
    <font>
      <b/>
      <sz val="11"/>
      <color theme="1"/>
      <name val="Arial Narrow"/>
      <family val="2"/>
    </font>
    <font>
      <b/>
      <i/>
      <sz val="14"/>
      <color theme="1"/>
      <name val="Arial Narrow"/>
      <family val="2"/>
    </font>
    <font>
      <b/>
      <sz val="22"/>
      <color theme="0"/>
      <name val="Arial Narrow"/>
      <family val="2"/>
    </font>
    <font>
      <i/>
      <sz val="18"/>
      <color rgb="FFFFFF00"/>
      <name val="Arial Narrow"/>
      <family val="2"/>
    </font>
    <font>
      <i/>
      <sz val="11"/>
      <color theme="1"/>
      <name val="Arial Narrow"/>
      <family val="2"/>
    </font>
    <font>
      <b/>
      <sz val="24"/>
      <color theme="0"/>
      <name val="Times New Roman"/>
      <family val="1"/>
    </font>
    <font>
      <i/>
      <sz val="18"/>
      <color theme="0"/>
      <name val="Times New Roman"/>
      <family val="1"/>
    </font>
    <font>
      <sz val="14"/>
      <color theme="1"/>
      <name val="Arial Narrow"/>
      <family val="2"/>
    </font>
    <font>
      <i/>
      <sz val="18"/>
      <color theme="0"/>
      <name val="Arial Narrow"/>
      <family val="2"/>
    </font>
    <font>
      <sz val="8"/>
      <color theme="1"/>
      <name val="Arial Narrow"/>
      <family val="2"/>
    </font>
    <font>
      <sz val="10"/>
      <color theme="1" tint="0.499984740745262"/>
      <name val="Arial Narrow"/>
      <family val="2"/>
    </font>
    <font>
      <sz val="11"/>
      <color rgb="FFF85208"/>
      <name val="Arial Narrow"/>
      <family val="2"/>
    </font>
    <font>
      <i/>
      <sz val="10"/>
      <color theme="1"/>
      <name val="Arial Narrow"/>
      <family val="2"/>
    </font>
    <font>
      <b/>
      <sz val="18"/>
      <color rgb="FF33CC33"/>
      <name val="Arial Narrow"/>
      <family val="2"/>
    </font>
    <font>
      <b/>
      <sz val="18"/>
      <color rgb="FF0070C0"/>
      <name val="Arial Narrow"/>
      <family val="2"/>
    </font>
    <font>
      <sz val="7"/>
      <color rgb="FFF85208"/>
      <name val="Arial Narrow"/>
      <family val="2"/>
    </font>
    <font>
      <sz val="6"/>
      <color rgb="FFF85208"/>
      <name val="Arial Narrow"/>
      <family val="2"/>
    </font>
    <font>
      <sz val="6"/>
      <color theme="1"/>
      <name val="Arial Narrow"/>
      <family val="2"/>
    </font>
    <font>
      <sz val="7"/>
      <color theme="1"/>
      <name val="Arial Narrow"/>
      <family val="2"/>
    </font>
    <font>
      <i/>
      <sz val="7"/>
      <color theme="1"/>
      <name val="Arial Narrow"/>
      <family val="2"/>
    </font>
    <font>
      <b/>
      <sz val="18"/>
      <color rgb="FF0070C0"/>
      <name val="Calibri"/>
      <family val="2"/>
      <scheme val="minor"/>
    </font>
    <font>
      <sz val="11"/>
      <color rgb="FFF85208"/>
      <name val="Calibri"/>
      <family val="2"/>
      <scheme val="minor"/>
    </font>
    <font>
      <u/>
      <sz val="11"/>
      <color theme="10"/>
      <name val="Arial Narrow"/>
      <family val="2"/>
    </font>
    <font>
      <sz val="11"/>
      <name val="Calibri"/>
      <family val="2"/>
      <scheme val="minor"/>
    </font>
    <font>
      <sz val="11"/>
      <color rgb="FF33CC33"/>
      <name val="Calibri"/>
      <family val="2"/>
      <scheme val="minor"/>
    </font>
    <font>
      <sz val="11"/>
      <color rgb="FFFF0000"/>
      <name val="Arial Narrow"/>
      <family val="2"/>
    </font>
    <font>
      <b/>
      <sz val="11"/>
      <color theme="0"/>
      <name val="Arial Narrow"/>
      <family val="2"/>
    </font>
    <font>
      <i/>
      <sz val="11"/>
      <color theme="0" tint="-0.14999847407452621"/>
      <name val="Arial Narrow"/>
      <family val="2"/>
    </font>
    <font>
      <b/>
      <sz val="9"/>
      <color theme="1"/>
      <name val="Arial Narrow"/>
      <family val="2"/>
    </font>
    <font>
      <b/>
      <sz val="24"/>
      <color rgb="FF002060"/>
      <name val="Calibri"/>
      <family val="2"/>
      <scheme val="minor"/>
    </font>
    <font>
      <b/>
      <sz val="11"/>
      <color rgb="FFFF0000"/>
      <name val="Arial Narrow"/>
      <family val="2"/>
    </font>
    <font>
      <sz val="8"/>
      <color rgb="FF000000"/>
      <name val="Tahoma"/>
      <family val="2"/>
    </font>
    <font>
      <sz val="11"/>
      <color theme="0"/>
      <name val="Arial Narrow"/>
      <family val="2"/>
    </font>
    <font>
      <sz val="22"/>
      <color theme="0"/>
      <name val="Arial Narrow"/>
      <family val="2"/>
    </font>
    <font>
      <i/>
      <sz val="16"/>
      <color theme="0"/>
      <name val="Times New Roman"/>
      <family val="1"/>
    </font>
    <font>
      <sz val="8"/>
      <name val="Calibri"/>
      <family val="2"/>
      <scheme val="minor"/>
    </font>
    <font>
      <b/>
      <sz val="8"/>
      <name val="Wingdings"/>
      <charset val="2"/>
    </font>
    <font>
      <sz val="8"/>
      <color rgb="FF000000"/>
      <name val="Segoe UI"/>
      <family val="2"/>
    </font>
    <font>
      <sz val="28"/>
      <color theme="0"/>
      <name val="Times New Roman"/>
      <family val="1"/>
    </font>
    <font>
      <b/>
      <sz val="28"/>
      <color theme="0"/>
      <name val="Times New Roman"/>
      <family val="1"/>
    </font>
    <font>
      <i/>
      <sz val="22"/>
      <color theme="0"/>
      <name val="Times New Roman"/>
      <family val="1"/>
    </font>
    <font>
      <sz val="11"/>
      <name val="Calibri"/>
      <family val="2"/>
    </font>
    <font>
      <sz val="11"/>
      <color theme="1"/>
      <name val="Calibri"/>
      <family val="2"/>
    </font>
    <font>
      <sz val="8.8000000000000007"/>
      <color theme="1"/>
      <name val="Arial Narrow"/>
      <family val="2"/>
    </font>
    <font>
      <sz val="12"/>
      <color theme="1"/>
      <name val="Calibri"/>
      <family val="2"/>
    </font>
    <font>
      <sz val="9.6"/>
      <color theme="1"/>
      <name val="Arial Narrow"/>
      <family val="2"/>
    </font>
    <font>
      <b/>
      <sz val="12"/>
      <color theme="0"/>
      <name val="Arial Narrow"/>
      <family val="2"/>
    </font>
    <font>
      <b/>
      <sz val="14"/>
      <color rgb="FF142D42"/>
      <name val="Arial Narrow"/>
      <family val="2"/>
    </font>
    <font>
      <sz val="11"/>
      <color rgb="FF142D42"/>
      <name val="Arial Narrow"/>
      <family val="2"/>
    </font>
    <font>
      <b/>
      <sz val="7"/>
      <color rgb="FF142D42"/>
      <name val="Arial Narrow"/>
      <family val="2"/>
    </font>
    <font>
      <sz val="7"/>
      <color rgb="FF142D42"/>
      <name val="Arial Narrow"/>
      <family val="2"/>
    </font>
    <font>
      <i/>
      <sz val="16"/>
      <color rgb="FF142D42"/>
      <name val="Arial Narrow"/>
      <family val="2"/>
    </font>
    <font>
      <b/>
      <sz val="14"/>
      <color theme="1"/>
      <name val="Arial Narrow"/>
      <family val="2"/>
    </font>
    <font>
      <sz val="11"/>
      <color indexed="8"/>
      <name val="Corbel"/>
      <family val="2"/>
    </font>
    <font>
      <sz val="10"/>
      <color theme="1"/>
      <name val="Arial"/>
      <family val="2"/>
    </font>
    <font>
      <b/>
      <i/>
      <sz val="12"/>
      <color theme="1"/>
      <name val="Arial Narrow"/>
      <family val="2"/>
    </font>
    <font>
      <b/>
      <sz val="10"/>
      <color theme="0"/>
      <name val="Calibri"/>
      <family val="2"/>
    </font>
    <font>
      <b/>
      <sz val="8"/>
      <color theme="0"/>
      <name val="Arial Narrow"/>
      <family val="2"/>
    </font>
    <font>
      <b/>
      <i/>
      <sz val="11"/>
      <name val="Arial Narrow"/>
      <family val="2"/>
    </font>
    <font>
      <b/>
      <i/>
      <sz val="11"/>
      <color theme="1"/>
      <name val="Calibri"/>
      <family val="2"/>
      <scheme val="minor"/>
    </font>
    <font>
      <b/>
      <i/>
      <sz val="11"/>
      <color theme="1"/>
      <name val="Arial Narrow"/>
      <family val="2"/>
    </font>
    <font>
      <b/>
      <sz val="11"/>
      <color rgb="FFFA7D00"/>
      <name val="Calibri"/>
      <family val="2"/>
      <scheme val="minor"/>
    </font>
    <font>
      <sz val="11"/>
      <color rgb="FFFA7D00"/>
      <name val="Calibri"/>
      <family val="2"/>
      <scheme val="minor"/>
    </font>
    <font>
      <b/>
      <sz val="20"/>
      <color theme="1"/>
      <name val="Calibri"/>
      <family val="2"/>
      <scheme val="minor"/>
    </font>
    <font>
      <b/>
      <sz val="11"/>
      <color rgb="FFFFFFFF"/>
      <name val="Corbel"/>
      <family val="2"/>
    </font>
    <font>
      <sz val="11"/>
      <color theme="1"/>
      <name val="Corbel"/>
      <family val="2"/>
    </font>
    <font>
      <b/>
      <sz val="11"/>
      <color theme="1"/>
      <name val="Corbel"/>
      <family val="2"/>
    </font>
    <font>
      <strike/>
      <sz val="11"/>
      <color theme="1"/>
      <name val="Corbel"/>
      <family val="2"/>
    </font>
    <font>
      <b/>
      <sz val="18"/>
      <color theme="1"/>
      <name val="Calibri"/>
      <family val="2"/>
      <scheme val="minor"/>
    </font>
    <font>
      <sz val="11"/>
      <color rgb="FF000000"/>
      <name val="Corbel"/>
      <family val="2"/>
    </font>
    <font>
      <sz val="11"/>
      <name val="Corbel"/>
      <family val="2"/>
    </font>
    <font>
      <sz val="11"/>
      <color rgb="FF080808"/>
      <name val="Corbel"/>
      <family val="2"/>
    </font>
    <font>
      <b/>
      <u/>
      <sz val="22"/>
      <color theme="1"/>
      <name val="Calibri"/>
      <family val="2"/>
      <scheme val="minor"/>
    </font>
    <font>
      <b/>
      <vertAlign val="subscript"/>
      <sz val="11"/>
      <color theme="0"/>
      <name val="Calibri"/>
      <family val="2"/>
      <scheme val="minor"/>
    </font>
    <font>
      <b/>
      <sz val="11"/>
      <color theme="0"/>
      <name val="Corbel"/>
      <family val="2"/>
    </font>
    <font>
      <i/>
      <sz val="11"/>
      <color theme="1"/>
      <name val="Corbel"/>
      <family val="2"/>
    </font>
    <font>
      <b/>
      <sz val="11"/>
      <color theme="1"/>
      <name val="Calibri"/>
      <family val="2"/>
      <scheme val="minor"/>
    </font>
    <font>
      <sz val="10"/>
      <color theme="1"/>
      <name val="Corbel"/>
      <family val="2"/>
    </font>
    <font>
      <i/>
      <sz val="9"/>
      <color theme="1"/>
      <name val="Arial Narrow"/>
      <family val="2"/>
    </font>
  </fonts>
  <fills count="27">
    <fill>
      <patternFill patternType="none"/>
    </fill>
    <fill>
      <patternFill patternType="gray125"/>
    </fill>
    <fill>
      <patternFill patternType="solid">
        <fgColor theme="0" tint="-0.49998474074526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30"/>
      </patternFill>
    </fill>
    <fill>
      <patternFill patternType="solid">
        <fgColor rgb="FFF85208"/>
        <bgColor indexed="64"/>
      </patternFill>
    </fill>
    <fill>
      <patternFill patternType="solid">
        <fgColor rgb="FFFFFF00"/>
        <bgColor indexed="64"/>
      </patternFill>
    </fill>
    <fill>
      <patternFill patternType="solid">
        <fgColor rgb="FFFFFF00"/>
        <bgColor indexed="30"/>
      </patternFill>
    </fill>
    <fill>
      <patternFill patternType="solid">
        <fgColor theme="1" tint="0.499984740745262"/>
        <bgColor indexed="64"/>
      </patternFill>
    </fill>
    <fill>
      <patternFill patternType="solid">
        <fgColor rgb="FFFF99FF"/>
        <bgColor indexed="64"/>
      </patternFill>
    </fill>
    <fill>
      <patternFill patternType="solid">
        <fgColor rgb="FF6A5B4E"/>
        <bgColor indexed="64"/>
      </patternFill>
    </fill>
    <fill>
      <patternFill patternType="solid">
        <fgColor theme="0"/>
        <bgColor indexed="64"/>
      </patternFill>
    </fill>
    <fill>
      <patternFill patternType="solid">
        <fgColor rgb="FF063F6E"/>
        <bgColor indexed="64"/>
      </patternFill>
    </fill>
    <fill>
      <patternFill patternType="solid">
        <fgColor rgb="FF063F6E"/>
        <bgColor indexed="30"/>
      </patternFill>
    </fill>
    <fill>
      <patternFill patternType="solid">
        <fgColor rgb="FF142D42"/>
        <bgColor indexed="64"/>
      </patternFill>
    </fill>
    <fill>
      <patternFill patternType="solid">
        <fgColor theme="8" tint="0.79998168889431442"/>
        <bgColor indexed="64"/>
      </patternFill>
    </fill>
    <fill>
      <patternFill patternType="solid">
        <fgColor rgb="FFF2F2F2"/>
      </patternFill>
    </fill>
    <fill>
      <patternFill patternType="solid">
        <fgColor theme="8" tint="-0.499984740745262"/>
        <bgColor indexed="64"/>
      </patternFill>
    </fill>
    <fill>
      <patternFill patternType="solid">
        <fgColor rgb="FF00B050"/>
        <bgColor indexed="64"/>
      </patternFill>
    </fill>
    <fill>
      <patternFill patternType="solid">
        <fgColor theme="8" tint="0.59999389629810485"/>
        <bgColor indexed="64"/>
      </patternFill>
    </fill>
    <fill>
      <patternFill patternType="mediumGray"/>
    </fill>
    <fill>
      <patternFill patternType="solid">
        <fgColor theme="8" tint="-0.499984740745262"/>
        <bgColor rgb="FF000000"/>
      </patternFill>
    </fill>
    <fill>
      <patternFill patternType="solid">
        <fgColor theme="5" tint="-0.499984740745262"/>
        <bgColor indexed="64"/>
      </patternFill>
    </fill>
    <fill>
      <gradientFill degree="180">
        <stop position="0">
          <color theme="0"/>
        </stop>
        <stop position="1">
          <color rgb="FF142D42"/>
        </stop>
      </gradient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auto="1"/>
      </left>
      <right style="thin">
        <color auto="1"/>
      </right>
      <top/>
      <bottom/>
      <diagonal/>
    </border>
    <border>
      <left/>
      <right/>
      <top/>
      <bottom style="thick">
        <color rgb="FFD94F00"/>
      </bottom>
      <diagonal/>
    </border>
    <border>
      <left style="thin">
        <color indexed="64"/>
      </left>
      <right/>
      <top style="medium">
        <color indexed="64"/>
      </top>
      <bottom/>
      <diagonal/>
    </border>
    <border>
      <left/>
      <right style="medium">
        <color indexed="64"/>
      </right>
      <top/>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thin">
        <color auto="1"/>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medium">
        <color indexed="64"/>
      </left>
      <right style="thin">
        <color theme="1" tint="-0.499984740745262"/>
      </right>
      <top style="medium">
        <color indexed="64"/>
      </top>
      <bottom style="thin">
        <color theme="1" tint="-0.499984740745262"/>
      </bottom>
      <diagonal/>
    </border>
    <border>
      <left style="thin">
        <color theme="1" tint="-0.499984740745262"/>
      </left>
      <right style="thin">
        <color theme="1" tint="-0.499984740745262"/>
      </right>
      <top style="medium">
        <color indexed="64"/>
      </top>
      <bottom style="thin">
        <color theme="1" tint="-0.499984740745262"/>
      </bottom>
      <diagonal/>
    </border>
    <border>
      <left style="thin">
        <color theme="1" tint="-0.499984740745262"/>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style="medium">
        <color indexed="64"/>
      </right>
      <top style="thin">
        <color theme="1" tint="-0.499984740745262"/>
      </top>
      <bottom style="medium">
        <color indexed="64"/>
      </bottom>
      <diagonal/>
    </border>
    <border>
      <left style="medium">
        <color indexed="64"/>
      </left>
      <right style="thin">
        <color theme="1" tint="-0.499984740745262"/>
      </right>
      <top/>
      <bottom style="thin">
        <color theme="1" tint="-0.499984740745262"/>
      </bottom>
      <diagonal/>
    </border>
    <border>
      <left style="thin">
        <color theme="1" tint="-0.499984740745262"/>
      </left>
      <right style="medium">
        <color indexed="64"/>
      </right>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medium">
        <color indexed="64"/>
      </left>
      <right/>
      <top style="medium">
        <color indexed="64"/>
      </top>
      <bottom style="thin">
        <color theme="1" tint="-0.499984740745262"/>
      </bottom>
      <diagonal/>
    </border>
    <border>
      <left/>
      <right/>
      <top style="medium">
        <color indexed="64"/>
      </top>
      <bottom style="thin">
        <color theme="1" tint="-0.499984740745262"/>
      </bottom>
      <diagonal/>
    </border>
    <border>
      <left/>
      <right style="medium">
        <color indexed="64"/>
      </right>
      <top style="medium">
        <color indexed="64"/>
      </top>
      <bottom style="thin">
        <color theme="1" tint="-0.499984740745262"/>
      </bottom>
      <diagonal/>
    </border>
    <border>
      <left style="medium">
        <color indexed="64"/>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medium">
        <color indexed="64"/>
      </right>
      <top style="thin">
        <color theme="1" tint="-0.499984740745262"/>
      </top>
      <bottom/>
      <diagonal/>
    </border>
    <border>
      <left style="thin">
        <color auto="1"/>
      </left>
      <right style="thin">
        <color auto="1"/>
      </right>
      <top style="thin">
        <color auto="1"/>
      </top>
      <bottom/>
      <diagonal/>
    </border>
    <border>
      <left style="thin">
        <color auto="1"/>
      </left>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rgb="FFFF3300"/>
      </bottom>
      <diagonal/>
    </border>
    <border>
      <left/>
      <right/>
      <top style="thin">
        <color indexed="64"/>
      </top>
      <bottom style="medium">
        <color rgb="FFFF3300"/>
      </bottom>
      <diagonal/>
    </border>
    <border>
      <left/>
      <right/>
      <top/>
      <bottom style="medium">
        <color rgb="FFFF3300"/>
      </bottom>
      <diagonal/>
    </border>
  </borders>
  <cellStyleXfs count="70">
    <xf numFmtId="0" fontId="0" fillId="0" borderId="0"/>
    <xf numFmtId="0" fontId="6" fillId="0" borderId="0"/>
    <xf numFmtId="0" fontId="2"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37"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9" fillId="0" borderId="0" applyNumberFormat="0" applyFill="0" applyBorder="0" applyAlignment="0" applyProtection="0">
      <alignment vertical="top"/>
      <protection locked="0"/>
    </xf>
    <xf numFmtId="0" fontId="40" fillId="0" borderId="0" applyNumberFormat="0" applyFill="0" applyBorder="0" applyAlignment="0" applyProtection="0"/>
    <xf numFmtId="0" fontId="41" fillId="0" borderId="0" applyNumberFormat="0" applyFill="0" applyBorder="0" applyAlignment="0" applyProtection="0">
      <alignment vertical="top"/>
      <protection locked="0"/>
    </xf>
    <xf numFmtId="0" fontId="2" fillId="0" borderId="0"/>
    <xf numFmtId="0" fontId="37" fillId="0" borderId="0"/>
    <xf numFmtId="0" fontId="2" fillId="0" borderId="0"/>
    <xf numFmtId="0" fontId="2" fillId="0" borderId="0"/>
    <xf numFmtId="0" fontId="2" fillId="0" borderId="0"/>
    <xf numFmtId="9" fontId="3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37" fillId="0" borderId="0"/>
    <xf numFmtId="0" fontId="107" fillId="0" borderId="0"/>
    <xf numFmtId="0" fontId="114" fillId="19" borderId="61" applyNumberFormat="0" applyAlignment="0" applyProtection="0"/>
    <xf numFmtId="0" fontId="37" fillId="0" borderId="0"/>
  </cellStyleXfs>
  <cellXfs count="1468">
    <xf numFmtId="0" fontId="0" fillId="0" borderId="0" xfId="0"/>
    <xf numFmtId="0" fontId="3" fillId="0" borderId="0" xfId="52" applyFont="1" applyAlignment="1" applyProtection="1">
      <alignment horizontal="right"/>
      <protection hidden="1"/>
    </xf>
    <xf numFmtId="0" fontId="42" fillId="0" borderId="0" xfId="0" applyFont="1" applyProtection="1">
      <protection hidden="1"/>
    </xf>
    <xf numFmtId="0" fontId="4" fillId="0" borderId="0" xfId="52" applyFont="1" applyProtection="1">
      <protection hidden="1"/>
    </xf>
    <xf numFmtId="0" fontId="4" fillId="0" borderId="0" xfId="52" applyFont="1" applyAlignment="1" applyProtection="1">
      <alignment horizontal="right"/>
      <protection hidden="1"/>
    </xf>
    <xf numFmtId="0" fontId="42" fillId="0" borderId="0" xfId="0" applyFont="1"/>
    <xf numFmtId="0" fontId="7" fillId="0" borderId="0" xfId="52" applyFont="1" applyProtection="1">
      <protection hidden="1"/>
    </xf>
    <xf numFmtId="0" fontId="43" fillId="0" borderId="0" xfId="0" applyFont="1" applyProtection="1">
      <protection hidden="1"/>
    </xf>
    <xf numFmtId="0" fontId="45" fillId="0" borderId="0" xfId="0" applyFont="1"/>
    <xf numFmtId="0" fontId="46" fillId="0" borderId="0" xfId="0" applyFont="1"/>
    <xf numFmtId="0" fontId="45" fillId="0" borderId="0" xfId="0" applyFont="1" applyAlignment="1">
      <alignment horizontal="left"/>
    </xf>
    <xf numFmtId="49" fontId="45" fillId="0" borderId="0" xfId="0" applyNumberFormat="1" applyFont="1" applyAlignment="1">
      <alignment horizontal="left"/>
    </xf>
    <xf numFmtId="49" fontId="45" fillId="3" borderId="7" xfId="0" applyNumberFormat="1" applyFont="1" applyFill="1" applyBorder="1" applyAlignment="1">
      <alignment horizontal="right"/>
    </xf>
    <xf numFmtId="0" fontId="45" fillId="0" borderId="8" xfId="0" applyFont="1" applyBorder="1"/>
    <xf numFmtId="0" fontId="45" fillId="0" borderId="8" xfId="0" applyFont="1" applyBorder="1" applyAlignment="1">
      <alignment horizontal="left"/>
    </xf>
    <xf numFmtId="49" fontId="45" fillId="0" borderId="8" xfId="0" applyNumberFormat="1" applyFont="1" applyBorder="1" applyAlignment="1">
      <alignment horizontal="left"/>
    </xf>
    <xf numFmtId="49" fontId="45" fillId="0" borderId="0" xfId="0" quotePrefix="1" applyNumberFormat="1" applyFont="1" applyAlignment="1">
      <alignment horizontal="left"/>
    </xf>
    <xf numFmtId="0" fontId="45" fillId="0" borderId="0" xfId="0" applyFont="1" applyAlignment="1" applyProtection="1">
      <alignment horizontal="right"/>
      <protection hidden="1"/>
    </xf>
    <xf numFmtId="14" fontId="47" fillId="0" borderId="0" xfId="0" applyNumberFormat="1" applyFont="1"/>
    <xf numFmtId="0" fontId="47" fillId="0" borderId="0" xfId="0" applyFont="1" applyAlignment="1">
      <alignment horizontal="left"/>
    </xf>
    <xf numFmtId="49" fontId="47" fillId="0" borderId="0" xfId="0" applyNumberFormat="1" applyFont="1" applyAlignment="1">
      <alignment horizontal="left"/>
    </xf>
    <xf numFmtId="14" fontId="47" fillId="0" borderId="0" xfId="0" applyNumberFormat="1" applyFont="1" applyProtection="1">
      <protection hidden="1"/>
    </xf>
    <xf numFmtId="0" fontId="47" fillId="0" borderId="0" xfId="0" applyFont="1" applyAlignment="1" applyProtection="1">
      <alignment horizontal="left"/>
      <protection hidden="1"/>
    </xf>
    <xf numFmtId="49" fontId="47" fillId="0" borderId="0" xfId="0" applyNumberFormat="1" applyFont="1" applyAlignment="1" applyProtection="1">
      <alignment horizontal="left"/>
      <protection hidden="1"/>
    </xf>
    <xf numFmtId="0" fontId="47" fillId="0" borderId="0" xfId="0" applyFont="1" applyProtection="1">
      <protection hidden="1"/>
    </xf>
    <xf numFmtId="0" fontId="47" fillId="0" borderId="0" xfId="0" applyFont="1"/>
    <xf numFmtId="0" fontId="45" fillId="0" borderId="0" xfId="0" applyFont="1" applyAlignment="1">
      <alignment horizontal="left" wrapText="1"/>
    </xf>
    <xf numFmtId="0" fontId="4" fillId="0" borderId="19" xfId="52" applyFont="1" applyBorder="1" applyAlignment="1">
      <alignment horizontal="center" vertical="center" wrapText="1"/>
    </xf>
    <xf numFmtId="42" fontId="7" fillId="0" borderId="1" xfId="3" applyNumberFormat="1" applyFont="1" applyBorder="1" applyProtection="1">
      <protection hidden="1"/>
    </xf>
    <xf numFmtId="0" fontId="4" fillId="0" borderId="20" xfId="52" applyFont="1" applyBorder="1" applyAlignment="1">
      <alignment vertical="center"/>
    </xf>
    <xf numFmtId="0" fontId="4" fillId="4" borderId="20" xfId="52" applyFont="1" applyFill="1" applyBorder="1" applyAlignment="1">
      <alignment horizontal="center" vertical="center"/>
    </xf>
    <xf numFmtId="0" fontId="4" fillId="0" borderId="23" xfId="52" applyFont="1" applyBorder="1" applyAlignment="1">
      <alignment vertical="center"/>
    </xf>
    <xf numFmtId="0" fontId="4" fillId="4" borderId="23" xfId="52" applyFont="1" applyFill="1" applyBorder="1" applyAlignment="1">
      <alignment horizontal="center" vertical="center"/>
    </xf>
    <xf numFmtId="0" fontId="4" fillId="4" borderId="20" xfId="52" applyFont="1" applyFill="1" applyBorder="1" applyAlignment="1">
      <alignment horizontal="center" vertical="center" wrapText="1"/>
    </xf>
    <xf numFmtId="0" fontId="4" fillId="4" borderId="23" xfId="52" applyFont="1" applyFill="1" applyBorder="1" applyAlignment="1">
      <alignment horizontal="center" vertical="center" wrapText="1"/>
    </xf>
    <xf numFmtId="0" fontId="42" fillId="0" borderId="0" xfId="0" applyFont="1" applyAlignment="1">
      <alignment horizontal="center" wrapText="1"/>
    </xf>
    <xf numFmtId="0" fontId="42" fillId="0" borderId="34" xfId="0" applyFont="1" applyBorder="1"/>
    <xf numFmtId="0" fontId="42" fillId="0" borderId="20" xfId="0" applyFont="1" applyBorder="1" applyAlignment="1">
      <alignment wrapText="1"/>
    </xf>
    <xf numFmtId="0" fontId="42" fillId="0" borderId="35" xfId="0" applyFont="1" applyBorder="1"/>
    <xf numFmtId="0" fontId="42" fillId="0" borderId="36" xfId="0" applyFont="1" applyBorder="1"/>
    <xf numFmtId="0" fontId="42" fillId="0" borderId="23" xfId="0" applyFont="1" applyBorder="1" applyAlignment="1">
      <alignment wrapText="1"/>
    </xf>
    <xf numFmtId="0" fontId="42" fillId="0" borderId="37" xfId="0" applyFont="1" applyBorder="1"/>
    <xf numFmtId="0" fontId="42" fillId="0" borderId="21" xfId="0" applyFont="1" applyBorder="1" applyAlignment="1">
      <alignment wrapText="1"/>
    </xf>
    <xf numFmtId="0" fontId="4" fillId="0" borderId="24" xfId="52" applyFont="1" applyBorder="1" applyAlignment="1">
      <alignment horizontal="center" vertical="center" wrapText="1"/>
    </xf>
    <xf numFmtId="0" fontId="42" fillId="0" borderId="38" xfId="0" applyFont="1" applyBorder="1"/>
    <xf numFmtId="0" fontId="42" fillId="5" borderId="0" xfId="0" applyFont="1" applyFill="1"/>
    <xf numFmtId="0" fontId="42" fillId="5" borderId="34" xfId="0" applyFont="1" applyFill="1" applyBorder="1"/>
    <xf numFmtId="0" fontId="42" fillId="5" borderId="36" xfId="0" applyFont="1" applyFill="1" applyBorder="1"/>
    <xf numFmtId="0" fontId="42" fillId="5" borderId="35" xfId="0" applyFont="1" applyFill="1" applyBorder="1"/>
    <xf numFmtId="0" fontId="42" fillId="5" borderId="37" xfId="0" applyFont="1" applyFill="1" applyBorder="1"/>
    <xf numFmtId="0" fontId="42" fillId="0" borderId="37" xfId="0" applyFont="1" applyBorder="1" applyAlignment="1">
      <alignment wrapText="1"/>
    </xf>
    <xf numFmtId="0" fontId="42" fillId="5" borderId="28" xfId="0" applyFont="1" applyFill="1" applyBorder="1"/>
    <xf numFmtId="0" fontId="42" fillId="0" borderId="28" xfId="0" applyFont="1" applyBorder="1"/>
    <xf numFmtId="0" fontId="42" fillId="5" borderId="29" xfId="0" applyFont="1" applyFill="1" applyBorder="1"/>
    <xf numFmtId="0" fontId="42" fillId="5" borderId="39" xfId="0" applyFont="1" applyFill="1" applyBorder="1"/>
    <xf numFmtId="0" fontId="42" fillId="0" borderId="39" xfId="0" applyFont="1" applyBorder="1"/>
    <xf numFmtId="0" fontId="42" fillId="5" borderId="40" xfId="0" applyFont="1" applyFill="1" applyBorder="1"/>
    <xf numFmtId="0" fontId="42" fillId="0" borderId="39" xfId="0" applyFont="1" applyBorder="1" applyAlignment="1">
      <alignment wrapText="1"/>
    </xf>
    <xf numFmtId="0" fontId="4" fillId="0" borderId="20" xfId="52" applyFont="1" applyBorder="1" applyAlignment="1">
      <alignment horizontal="left" vertical="center"/>
    </xf>
    <xf numFmtId="0" fontId="42" fillId="0" borderId="34" xfId="0" applyFont="1" applyBorder="1" applyAlignment="1">
      <alignment wrapText="1"/>
    </xf>
    <xf numFmtId="0" fontId="42" fillId="0" borderId="35" xfId="0" applyFont="1" applyBorder="1" applyAlignment="1">
      <alignment wrapText="1"/>
    </xf>
    <xf numFmtId="0" fontId="4" fillId="0" borderId="23" xfId="52" applyFont="1" applyBorder="1" applyAlignment="1">
      <alignment horizontal="left" vertical="center"/>
    </xf>
    <xf numFmtId="0" fontId="4" fillId="0" borderId="23" xfId="52" applyFont="1" applyBorder="1" applyAlignment="1">
      <alignment horizontal="center" vertical="top" wrapText="1"/>
    </xf>
    <xf numFmtId="0" fontId="4" fillId="5" borderId="17" xfId="52" applyFont="1" applyFill="1" applyBorder="1" applyAlignment="1">
      <alignment horizontal="left" vertical="center"/>
    </xf>
    <xf numFmtId="0" fontId="42" fillId="0" borderId="41" xfId="0" applyFont="1" applyBorder="1"/>
    <xf numFmtId="0" fontId="42" fillId="5" borderId="41" xfId="0" applyFont="1" applyFill="1" applyBorder="1"/>
    <xf numFmtId="0" fontId="42" fillId="0" borderId="41" xfId="0" applyFont="1" applyBorder="1" applyAlignment="1">
      <alignment horizontal="center" wrapText="1"/>
    </xf>
    <xf numFmtId="0" fontId="42" fillId="5" borderId="42" xfId="0" applyFont="1" applyFill="1" applyBorder="1"/>
    <xf numFmtId="0" fontId="4" fillId="0" borderId="7" xfId="52" applyFont="1" applyBorder="1" applyAlignment="1">
      <alignment horizontal="center" vertical="center" wrapText="1"/>
    </xf>
    <xf numFmtId="0" fontId="4" fillId="4" borderId="20" xfId="52" applyFont="1" applyFill="1" applyBorder="1" applyAlignment="1">
      <alignment horizontal="center" vertical="top" wrapText="1"/>
    </xf>
    <xf numFmtId="0" fontId="4" fillId="4" borderId="23" xfId="52" applyFont="1" applyFill="1" applyBorder="1" applyAlignment="1">
      <alignment horizontal="center" vertical="top" wrapText="1"/>
    </xf>
    <xf numFmtId="0" fontId="42" fillId="4" borderId="41" xfId="0" applyFont="1" applyFill="1" applyBorder="1" applyAlignment="1">
      <alignment horizontal="center" wrapText="1"/>
    </xf>
    <xf numFmtId="0" fontId="7" fillId="0" borderId="0" xfId="52" applyFont="1" applyAlignment="1" applyProtection="1">
      <alignment horizontal="left"/>
      <protection hidden="1"/>
    </xf>
    <xf numFmtId="1" fontId="45" fillId="3" borderId="7" xfId="0" applyNumberFormat="1" applyFont="1" applyFill="1" applyBorder="1"/>
    <xf numFmtId="0" fontId="43" fillId="0" borderId="1" xfId="0" applyFont="1" applyBorder="1" applyProtection="1">
      <protection hidden="1"/>
    </xf>
    <xf numFmtId="0" fontId="53" fillId="0" borderId="0" xfId="0" applyFont="1" applyAlignment="1" applyProtection="1">
      <alignment horizontal="center" wrapText="1"/>
      <protection hidden="1"/>
    </xf>
    <xf numFmtId="168" fontId="54" fillId="0" borderId="0" xfId="0" applyNumberFormat="1" applyFont="1" applyAlignment="1" applyProtection="1">
      <alignment horizontal="left"/>
      <protection hidden="1"/>
    </xf>
    <xf numFmtId="0" fontId="54" fillId="0" borderId="0" xfId="0" applyFont="1" applyAlignment="1" applyProtection="1">
      <alignment horizontal="right"/>
      <protection hidden="1"/>
    </xf>
    <xf numFmtId="9" fontId="42" fillId="0" borderId="0" xfId="57" applyFont="1" applyProtection="1">
      <protection hidden="1"/>
    </xf>
    <xf numFmtId="42" fontId="42" fillId="0" borderId="0" xfId="0" applyNumberFormat="1" applyFont="1" applyProtection="1">
      <protection hidden="1"/>
    </xf>
    <xf numFmtId="0" fontId="42" fillId="0" borderId="8" xfId="0" applyFont="1" applyBorder="1" applyProtection="1">
      <protection hidden="1"/>
    </xf>
    <xf numFmtId="0" fontId="42" fillId="0" borderId="11" xfId="0" applyFont="1" applyBorder="1" applyProtection="1">
      <protection hidden="1"/>
    </xf>
    <xf numFmtId="0" fontId="42" fillId="0" borderId="12" xfId="0" applyFont="1" applyBorder="1" applyProtection="1">
      <protection hidden="1"/>
    </xf>
    <xf numFmtId="3" fontId="19" fillId="0" borderId="12" xfId="4" applyNumberFormat="1" applyFont="1" applyBorder="1" applyAlignment="1" applyProtection="1">
      <alignment vertical="center" wrapText="1"/>
      <protection hidden="1"/>
    </xf>
    <xf numFmtId="169" fontId="46" fillId="0" borderId="12" xfId="0" applyNumberFormat="1" applyFont="1" applyBorder="1" applyProtection="1">
      <protection hidden="1"/>
    </xf>
    <xf numFmtId="4" fontId="19" fillId="0" borderId="13" xfId="4" applyNumberFormat="1" applyFont="1" applyBorder="1" applyAlignment="1" applyProtection="1">
      <alignment vertical="center"/>
      <protection hidden="1"/>
    </xf>
    <xf numFmtId="0" fontId="0" fillId="0" borderId="1" xfId="0" applyBorder="1"/>
    <xf numFmtId="0" fontId="57" fillId="0" borderId="0" xfId="0" applyFont="1" applyProtection="1">
      <protection hidden="1"/>
    </xf>
    <xf numFmtId="0" fontId="57" fillId="0" borderId="0" xfId="0" applyFont="1" applyAlignment="1" applyProtection="1">
      <alignment horizontal="right"/>
      <protection hidden="1"/>
    </xf>
    <xf numFmtId="0" fontId="0" fillId="6" borderId="1" xfId="0" applyFill="1" applyBorder="1" applyProtection="1">
      <protection locked="0"/>
    </xf>
    <xf numFmtId="165" fontId="60" fillId="6" borderId="8" xfId="0" applyNumberFormat="1" applyFont="1" applyFill="1" applyBorder="1" applyAlignment="1" applyProtection="1">
      <alignment horizontal="left"/>
      <protection locked="0"/>
    </xf>
    <xf numFmtId="0" fontId="42" fillId="0" borderId="8" xfId="0" applyFont="1" applyBorder="1" applyProtection="1">
      <protection locked="0"/>
    </xf>
    <xf numFmtId="0" fontId="55" fillId="10" borderId="0" xfId="0" applyFont="1" applyFill="1" applyAlignment="1">
      <alignment vertical="center"/>
    </xf>
    <xf numFmtId="49" fontId="3" fillId="9" borderId="0" xfId="0" applyNumberFormat="1" applyFont="1" applyFill="1"/>
    <xf numFmtId="0" fontId="61" fillId="10" borderId="0" xfId="0" applyFont="1" applyFill="1" applyAlignment="1">
      <alignment vertical="center"/>
    </xf>
    <xf numFmtId="3" fontId="60" fillId="6" borderId="8" xfId="0" applyNumberFormat="1" applyFont="1" applyFill="1" applyBorder="1" applyAlignment="1" applyProtection="1">
      <alignment horizontal="left"/>
      <protection locked="0"/>
    </xf>
    <xf numFmtId="0" fontId="7" fillId="0" borderId="8" xfId="52" applyFont="1" applyBorder="1" applyProtection="1">
      <protection hidden="1"/>
    </xf>
    <xf numFmtId="0" fontId="7" fillId="0" borderId="3" xfId="52" applyFont="1" applyBorder="1" applyProtection="1">
      <protection hidden="1"/>
    </xf>
    <xf numFmtId="49" fontId="3" fillId="0" borderId="0" xfId="0" applyNumberFormat="1" applyFont="1"/>
    <xf numFmtId="49" fontId="3" fillId="0" borderId="0" xfId="0" applyNumberFormat="1" applyFont="1" applyAlignment="1">
      <alignment horizontal="left" vertical="top" wrapText="1"/>
    </xf>
    <xf numFmtId="49" fontId="3" fillId="0" borderId="0" xfId="0" applyNumberFormat="1" applyFont="1" applyAlignment="1">
      <alignment horizontal="right"/>
    </xf>
    <xf numFmtId="49" fontId="3" fillId="0" borderId="0" xfId="0" applyNumberFormat="1" applyFont="1" applyAlignment="1">
      <alignment horizontal="left" indent="1"/>
    </xf>
    <xf numFmtId="49" fontId="20" fillId="0" borderId="0" xfId="0" applyNumberFormat="1" applyFont="1" applyAlignment="1">
      <alignment horizontal="right" vertical="top"/>
    </xf>
    <xf numFmtId="49" fontId="3" fillId="0" borderId="0" xfId="0" applyNumberFormat="1" applyFont="1" applyAlignment="1">
      <alignment horizontal="right" vertical="top"/>
    </xf>
    <xf numFmtId="49" fontId="3" fillId="0" borderId="0" xfId="0" applyNumberFormat="1" applyFont="1" applyAlignment="1">
      <alignment horizontal="left" indent="2"/>
    </xf>
    <xf numFmtId="0" fontId="42" fillId="6" borderId="1" xfId="0" applyFont="1" applyFill="1" applyBorder="1" applyAlignment="1" applyProtection="1">
      <alignment horizontal="center" vertical="center" wrapText="1"/>
      <protection locked="0"/>
    </xf>
    <xf numFmtId="0" fontId="62" fillId="0" borderId="0" xfId="0" applyFont="1" applyAlignment="1" applyProtection="1">
      <alignment horizontal="center"/>
      <protection hidden="1"/>
    </xf>
    <xf numFmtId="0" fontId="7" fillId="6" borderId="1" xfId="0" applyFont="1" applyFill="1" applyBorder="1" applyProtection="1">
      <protection locked="0"/>
    </xf>
    <xf numFmtId="0" fontId="63" fillId="11" borderId="1" xfId="0" applyFont="1" applyFill="1" applyBorder="1" applyProtection="1">
      <protection locked="0"/>
    </xf>
    <xf numFmtId="0" fontId="64" fillId="0" borderId="0" xfId="0" applyFont="1" applyProtection="1">
      <protection hidden="1"/>
    </xf>
    <xf numFmtId="0" fontId="53" fillId="0" borderId="0" xfId="0" applyFont="1" applyAlignment="1" applyProtection="1">
      <alignment horizontal="right"/>
      <protection hidden="1"/>
    </xf>
    <xf numFmtId="0" fontId="42" fillId="0" borderId="8" xfId="0" applyFont="1" applyBorder="1" applyAlignment="1" applyProtection="1">
      <alignment horizontal="left"/>
      <protection hidden="1"/>
    </xf>
    <xf numFmtId="0" fontId="53" fillId="0" borderId="0" xfId="0" applyFont="1" applyAlignment="1" applyProtection="1">
      <alignment vertical="center" wrapText="1"/>
      <protection hidden="1"/>
    </xf>
    <xf numFmtId="0" fontId="53" fillId="0" borderId="0" xfId="0" applyFont="1" applyAlignment="1" applyProtection="1">
      <alignment vertical="top" wrapText="1"/>
      <protection hidden="1"/>
    </xf>
    <xf numFmtId="0" fontId="44" fillId="0" borderId="0" xfId="0" applyFont="1" applyAlignment="1" applyProtection="1">
      <alignment vertical="center"/>
      <protection hidden="1"/>
    </xf>
    <xf numFmtId="0" fontId="53" fillId="0" borderId="0" xfId="0" applyFont="1" applyAlignment="1" applyProtection="1">
      <alignment horizontal="left"/>
      <protection hidden="1"/>
    </xf>
    <xf numFmtId="0" fontId="53" fillId="0" borderId="0" xfId="0" applyFont="1" applyProtection="1">
      <protection hidden="1"/>
    </xf>
    <xf numFmtId="0" fontId="53" fillId="0" borderId="0" xfId="0" applyFont="1" applyAlignment="1" applyProtection="1">
      <alignment horizontal="center"/>
      <protection hidden="1"/>
    </xf>
    <xf numFmtId="0" fontId="42" fillId="0" borderId="0" xfId="0" applyFont="1" applyAlignment="1" applyProtection="1">
      <alignment horizontal="center"/>
      <protection hidden="1"/>
    </xf>
    <xf numFmtId="168" fontId="42" fillId="0" borderId="0" xfId="0" applyNumberFormat="1" applyFont="1" applyAlignment="1" applyProtection="1">
      <alignment horizontal="center"/>
      <protection hidden="1"/>
    </xf>
    <xf numFmtId="0" fontId="4" fillId="0" borderId="0" xfId="0" applyFont="1" applyAlignment="1" applyProtection="1">
      <alignment vertical="center" wrapText="1"/>
      <protection hidden="1"/>
    </xf>
    <xf numFmtId="0" fontId="25" fillId="0" borderId="0" xfId="0" applyFont="1" applyProtection="1">
      <protection hidden="1"/>
    </xf>
    <xf numFmtId="0" fontId="4" fillId="0" borderId="0" xfId="0" applyFont="1" applyProtection="1">
      <protection hidden="1"/>
    </xf>
    <xf numFmtId="0" fontId="25" fillId="0" borderId="0" xfId="0" applyFont="1" applyAlignment="1" applyProtection="1">
      <alignment horizontal="right"/>
      <protection hidden="1"/>
    </xf>
    <xf numFmtId="0" fontId="65" fillId="0" borderId="0" xfId="0" applyFont="1" applyProtection="1">
      <protection hidden="1"/>
    </xf>
    <xf numFmtId="0" fontId="25" fillId="0" borderId="8" xfId="0" applyFont="1" applyBorder="1" applyProtection="1">
      <protection hidden="1"/>
    </xf>
    <xf numFmtId="0" fontId="4" fillId="0" borderId="8" xfId="0" applyFont="1" applyBorder="1" applyProtection="1">
      <protection hidden="1"/>
    </xf>
    <xf numFmtId="0" fontId="4" fillId="0" borderId="8" xfId="0" applyFont="1" applyBorder="1" applyAlignment="1" applyProtection="1">
      <alignment vertical="center" wrapText="1"/>
      <protection hidden="1"/>
    </xf>
    <xf numFmtId="0" fontId="26" fillId="0" borderId="0" xfId="0" applyFont="1" applyAlignment="1" applyProtection="1">
      <alignment vertical="center"/>
      <protection hidden="1"/>
    </xf>
    <xf numFmtId="0" fontId="26" fillId="0" borderId="0" xfId="0" applyFont="1" applyProtection="1">
      <protection hidden="1"/>
    </xf>
    <xf numFmtId="0" fontId="26" fillId="0" borderId="0" xfId="0" applyFont="1" applyAlignment="1" applyProtection="1">
      <alignment horizontal="right" vertical="center"/>
      <protection hidden="1"/>
    </xf>
    <xf numFmtId="0" fontId="26" fillId="0" borderId="0" xfId="0" applyFont="1" applyAlignment="1" applyProtection="1">
      <alignment vertical="center" wrapText="1"/>
      <protection hidden="1"/>
    </xf>
    <xf numFmtId="0" fontId="68" fillId="0" borderId="0" xfId="0" applyFont="1" applyAlignment="1" applyProtection="1">
      <alignment horizontal="left" vertical="top"/>
      <protection hidden="1"/>
    </xf>
    <xf numFmtId="0" fontId="69" fillId="0" borderId="0" xfId="0" applyFont="1" applyProtection="1">
      <protection hidden="1"/>
    </xf>
    <xf numFmtId="0" fontId="70" fillId="0" borderId="0" xfId="0" applyFont="1" applyProtection="1">
      <protection hidden="1"/>
    </xf>
    <xf numFmtId="0" fontId="71" fillId="0" borderId="0" xfId="0" applyFont="1" applyAlignment="1" applyProtection="1">
      <alignment horizontal="left" vertical="top"/>
      <protection hidden="1"/>
    </xf>
    <xf numFmtId="0" fontId="12" fillId="0" borderId="0" xfId="0" applyFont="1" applyAlignment="1" applyProtection="1">
      <alignment horizontal="left" vertical="top"/>
      <protection hidden="1"/>
    </xf>
    <xf numFmtId="0" fontId="12" fillId="0" borderId="0" xfId="0" applyFont="1" applyAlignment="1" applyProtection="1">
      <alignment vertical="top"/>
      <protection hidden="1"/>
    </xf>
    <xf numFmtId="0" fontId="71" fillId="0" borderId="0" xfId="0" applyFont="1" applyAlignment="1" applyProtection="1">
      <alignment horizontal="left" vertical="top" wrapText="1"/>
      <protection hidden="1"/>
    </xf>
    <xf numFmtId="0" fontId="12" fillId="0" borderId="0" xfId="0" applyFont="1" applyAlignment="1" applyProtection="1">
      <alignment vertical="center"/>
      <protection hidden="1"/>
    </xf>
    <xf numFmtId="0" fontId="72" fillId="0" borderId="0" xfId="0" applyFont="1" applyAlignment="1" applyProtection="1">
      <alignment horizontal="left" vertical="center" wrapText="1"/>
      <protection hidden="1"/>
    </xf>
    <xf numFmtId="0" fontId="71" fillId="0" borderId="8" xfId="0" applyFont="1" applyBorder="1" applyAlignment="1" applyProtection="1">
      <alignment horizontal="left" vertical="top" wrapText="1"/>
      <protection hidden="1"/>
    </xf>
    <xf numFmtId="0" fontId="71" fillId="0" borderId="0" xfId="0" applyFont="1" applyAlignment="1" applyProtection="1">
      <alignment vertical="top"/>
      <protection hidden="1"/>
    </xf>
    <xf numFmtId="0" fontId="0" fillId="0" borderId="0" xfId="0" applyProtection="1">
      <protection hidden="1"/>
    </xf>
    <xf numFmtId="0" fontId="73" fillId="0" borderId="0" xfId="0" applyFont="1" applyAlignment="1" applyProtection="1">
      <alignment vertical="center"/>
      <protection hidden="1"/>
    </xf>
    <xf numFmtId="0" fontId="59" fillId="0" borderId="0" xfId="0" applyFont="1" applyAlignment="1" applyProtection="1">
      <alignment horizontal="left" vertical="center"/>
      <protection hidden="1"/>
    </xf>
    <xf numFmtId="0" fontId="73" fillId="0" borderId="0" xfId="0" applyFont="1" applyAlignment="1" applyProtection="1">
      <alignment horizontal="left" vertical="center"/>
      <protection hidden="1"/>
    </xf>
    <xf numFmtId="0" fontId="74" fillId="0" borderId="0" xfId="0" applyFont="1" applyProtection="1">
      <protection hidden="1"/>
    </xf>
    <xf numFmtId="0" fontId="42" fillId="0" borderId="0" xfId="0" applyFont="1" applyAlignment="1" applyProtection="1">
      <alignment horizontal="center" vertical="top"/>
      <protection hidden="1"/>
    </xf>
    <xf numFmtId="0" fontId="42" fillId="0" borderId="0" xfId="0" applyFont="1" applyAlignment="1" applyProtection="1">
      <alignment horizontal="left" vertical="top"/>
      <protection hidden="1"/>
    </xf>
    <xf numFmtId="0" fontId="42" fillId="0" borderId="0" xfId="0" applyFont="1" applyAlignment="1" applyProtection="1">
      <alignment vertical="top"/>
      <protection hidden="1"/>
    </xf>
    <xf numFmtId="0" fontId="4" fillId="0" borderId="0" xfId="0" applyFont="1" applyAlignment="1" applyProtection="1">
      <alignment horizontal="center" vertical="top"/>
      <protection hidden="1"/>
    </xf>
    <xf numFmtId="0" fontId="4" fillId="0" borderId="0" xfId="0" applyFont="1" applyAlignment="1" applyProtection="1">
      <alignment horizontal="left" vertical="top"/>
      <protection hidden="1"/>
    </xf>
    <xf numFmtId="0" fontId="76" fillId="0" borderId="0" xfId="0" applyFont="1" applyProtection="1">
      <protection hidden="1"/>
    </xf>
    <xf numFmtId="0" fontId="76" fillId="12" borderId="0" xfId="0" applyFont="1" applyFill="1" applyProtection="1">
      <protection hidden="1"/>
    </xf>
    <xf numFmtId="0" fontId="7" fillId="0" borderId="0" xfId="0" applyFont="1" applyAlignment="1" applyProtection="1">
      <alignment horizontal="center" vertical="top"/>
      <protection hidden="1"/>
    </xf>
    <xf numFmtId="0" fontId="4" fillId="0" borderId="0" xfId="0" applyFont="1" applyAlignment="1" applyProtection="1">
      <alignment vertical="top"/>
      <protection hidden="1"/>
    </xf>
    <xf numFmtId="0" fontId="14" fillId="0" borderId="0" xfId="0" applyFont="1" applyAlignment="1" applyProtection="1">
      <alignment horizontal="left"/>
      <protection hidden="1"/>
    </xf>
    <xf numFmtId="0" fontId="77" fillId="0" borderId="0" xfId="0" applyFont="1" applyProtection="1">
      <protection hidden="1"/>
    </xf>
    <xf numFmtId="0" fontId="42" fillId="0" borderId="0" xfId="0" applyFont="1" applyAlignment="1" applyProtection="1">
      <alignment horizontal="right" vertical="top"/>
      <protection hidden="1"/>
    </xf>
    <xf numFmtId="0" fontId="40" fillId="0" borderId="0" xfId="50" applyAlignment="1" applyProtection="1">
      <alignment horizontal="left" vertical="center"/>
      <protection hidden="1"/>
    </xf>
    <xf numFmtId="0" fontId="75" fillId="0" borderId="0" xfId="50" applyFont="1" applyAlignment="1" applyProtection="1">
      <alignment vertical="top"/>
      <protection hidden="1"/>
    </xf>
    <xf numFmtId="0" fontId="43" fillId="0" borderId="0" xfId="0" applyFont="1" applyAlignment="1" applyProtection="1">
      <alignment vertical="top"/>
      <protection hidden="1"/>
    </xf>
    <xf numFmtId="0" fontId="36" fillId="0" borderId="0" xfId="0" applyFont="1" applyAlignment="1" applyProtection="1">
      <alignment vertical="top"/>
      <protection hidden="1"/>
    </xf>
    <xf numFmtId="0" fontId="13" fillId="0" borderId="0" xfId="0" applyFont="1" applyAlignment="1" applyProtection="1">
      <alignment vertical="top"/>
      <protection hidden="1"/>
    </xf>
    <xf numFmtId="0" fontId="4" fillId="0" borderId="0" xfId="0" applyFont="1" applyAlignment="1" applyProtection="1">
      <alignment horizontal="right" vertical="top"/>
      <protection hidden="1"/>
    </xf>
    <xf numFmtId="0" fontId="43" fillId="0" borderId="0" xfId="0" applyFont="1" applyAlignment="1" applyProtection="1">
      <alignment horizontal="left" vertical="center" indent="5"/>
      <protection hidden="1"/>
    </xf>
    <xf numFmtId="0" fontId="65" fillId="0" borderId="0" xfId="0" applyFont="1" applyAlignment="1" applyProtection="1">
      <alignment horizontal="left" vertical="center" indent="5"/>
      <protection hidden="1"/>
    </xf>
    <xf numFmtId="0" fontId="0" fillId="0" borderId="0" xfId="0" applyAlignment="1" applyProtection="1">
      <alignment vertical="top"/>
      <protection hidden="1"/>
    </xf>
    <xf numFmtId="0" fontId="0" fillId="0" borderId="8" xfId="0" applyBorder="1" applyAlignment="1" applyProtection="1">
      <alignment vertical="top"/>
      <protection hidden="1"/>
    </xf>
    <xf numFmtId="0" fontId="0" fillId="0" borderId="8" xfId="0" applyBorder="1" applyProtection="1">
      <protection hidden="1"/>
    </xf>
    <xf numFmtId="0" fontId="57" fillId="0" borderId="8" xfId="0" applyFont="1" applyBorder="1" applyProtection="1">
      <protection hidden="1"/>
    </xf>
    <xf numFmtId="0" fontId="42" fillId="0" borderId="0" xfId="0" applyFont="1" applyAlignment="1" applyProtection="1">
      <alignment horizontal="left" vertical="center" indent="8"/>
      <protection hidden="1"/>
    </xf>
    <xf numFmtId="0" fontId="42" fillId="0" borderId="0" xfId="0" applyFont="1" applyAlignment="1" applyProtection="1">
      <alignment horizontal="left" vertical="center"/>
      <protection hidden="1"/>
    </xf>
    <xf numFmtId="0" fontId="13" fillId="0" borderId="0" xfId="0" applyFont="1" applyProtection="1">
      <protection hidden="1"/>
    </xf>
    <xf numFmtId="0" fontId="57" fillId="0" borderId="0" xfId="0" applyFont="1" applyAlignment="1" applyProtection="1">
      <alignment horizontal="left" vertical="center" indent="8"/>
      <protection hidden="1"/>
    </xf>
    <xf numFmtId="0" fontId="65" fillId="0" borderId="0" xfId="0" applyFont="1" applyAlignment="1" applyProtection="1">
      <alignment horizontal="left" wrapText="1"/>
      <protection hidden="1"/>
    </xf>
    <xf numFmtId="0" fontId="45" fillId="0" borderId="0" xfId="0" applyFont="1" applyAlignment="1" applyProtection="1">
      <alignment wrapText="1"/>
      <protection hidden="1"/>
    </xf>
    <xf numFmtId="0" fontId="15" fillId="0" borderId="0" xfId="0" applyFont="1" applyAlignment="1" applyProtection="1">
      <alignment horizontal="center" vertical="center" wrapText="1"/>
      <protection hidden="1"/>
    </xf>
    <xf numFmtId="0" fontId="50" fillId="0" borderId="0" xfId="52" applyFont="1" applyAlignment="1" applyProtection="1">
      <alignment horizontal="left" vertical="center" wrapText="1"/>
      <protection hidden="1"/>
    </xf>
    <xf numFmtId="0" fontId="15" fillId="0" borderId="0" xfId="52" applyFont="1" applyAlignment="1" applyProtection="1">
      <alignment horizontal="left" vertical="center"/>
      <protection hidden="1"/>
    </xf>
    <xf numFmtId="0" fontId="14" fillId="0" borderId="0" xfId="52" applyFont="1" applyProtection="1">
      <protection hidden="1"/>
    </xf>
    <xf numFmtId="0" fontId="5" fillId="0" borderId="0" xfId="52" applyFont="1" applyAlignment="1" applyProtection="1">
      <alignment vertical="center"/>
      <protection hidden="1"/>
    </xf>
    <xf numFmtId="0" fontId="13" fillId="0" borderId="1" xfId="52" applyFont="1" applyBorder="1" applyAlignment="1" applyProtection="1">
      <alignment horizontal="center" vertical="center" wrapText="1"/>
      <protection hidden="1"/>
    </xf>
    <xf numFmtId="0" fontId="13" fillId="0" borderId="1" xfId="52" applyFont="1" applyBorder="1" applyAlignment="1" applyProtection="1">
      <alignment horizontal="center" vertical="center"/>
      <protection hidden="1"/>
    </xf>
    <xf numFmtId="0" fontId="13" fillId="0" borderId="0" xfId="52" applyFont="1" applyAlignment="1" applyProtection="1">
      <alignment vertical="center"/>
      <protection hidden="1"/>
    </xf>
    <xf numFmtId="0" fontId="4" fillId="0" borderId="1" xfId="52" applyFont="1" applyBorder="1" applyAlignment="1" applyProtection="1">
      <alignment horizontal="center" vertical="center" wrapText="1"/>
      <protection hidden="1"/>
    </xf>
    <xf numFmtId="0" fontId="4" fillId="0" borderId="0" xfId="52" applyFont="1" applyAlignment="1" applyProtection="1">
      <alignment vertical="center"/>
      <protection hidden="1"/>
    </xf>
    <xf numFmtId="0" fontId="4" fillId="0" borderId="1" xfId="52" applyFont="1" applyBorder="1" applyAlignment="1" applyProtection="1">
      <alignment horizontal="center" vertical="center"/>
      <protection hidden="1"/>
    </xf>
    <xf numFmtId="5" fontId="4" fillId="0" borderId="6" xfId="30" applyNumberFormat="1" applyFont="1" applyBorder="1" applyAlignment="1" applyProtection="1">
      <alignment horizontal="center" vertical="center"/>
      <protection hidden="1"/>
    </xf>
    <xf numFmtId="0" fontId="4" fillId="0" borderId="9" xfId="52" applyFont="1" applyBorder="1" applyAlignment="1" applyProtection="1">
      <alignment horizontal="center" vertical="center"/>
      <protection hidden="1"/>
    </xf>
    <xf numFmtId="0" fontId="4" fillId="0" borderId="9" xfId="52" applyFont="1" applyBorder="1" applyAlignment="1" applyProtection="1">
      <alignment horizontal="center" vertical="center" wrapText="1"/>
      <protection hidden="1"/>
    </xf>
    <xf numFmtId="0" fontId="7" fillId="0" borderId="0" xfId="52" applyFont="1" applyAlignment="1" applyProtection="1">
      <alignment vertical="center"/>
      <protection hidden="1"/>
    </xf>
    <xf numFmtId="0" fontId="10" fillId="0" borderId="0" xfId="52" applyFont="1" applyProtection="1">
      <protection hidden="1"/>
    </xf>
    <xf numFmtId="0" fontId="7" fillId="0" borderId="0" xfId="52" applyFont="1" applyAlignment="1" applyProtection="1">
      <alignment vertical="center" wrapText="1"/>
      <protection hidden="1"/>
    </xf>
    <xf numFmtId="0" fontId="4" fillId="0" borderId="6" xfId="52" applyFont="1" applyBorder="1" applyAlignment="1" applyProtection="1">
      <alignment vertical="center" wrapText="1"/>
      <protection hidden="1"/>
    </xf>
    <xf numFmtId="0" fontId="8" fillId="0" borderId="0" xfId="52" applyFont="1" applyAlignment="1" applyProtection="1">
      <alignment vertical="center"/>
      <protection hidden="1"/>
    </xf>
    <xf numFmtId="0" fontId="8" fillId="0" borderId="0" xfId="52" applyFont="1" applyAlignment="1" applyProtection="1">
      <alignment horizontal="right" vertical="center"/>
      <protection hidden="1"/>
    </xf>
    <xf numFmtId="0" fontId="9" fillId="0" borderId="0" xfId="52" applyFont="1" applyAlignment="1" applyProtection="1">
      <alignment horizontal="center" vertical="center" wrapText="1"/>
      <protection hidden="1"/>
    </xf>
    <xf numFmtId="0" fontId="48" fillId="0" borderId="10" xfId="52" applyFont="1" applyBorder="1" applyAlignment="1" applyProtection="1">
      <alignment horizontal="center" vertical="center" wrapText="1"/>
      <protection hidden="1"/>
    </xf>
    <xf numFmtId="0" fontId="13" fillId="0" borderId="0" xfId="52" applyFont="1" applyAlignment="1" applyProtection="1">
      <alignment horizontal="left" vertical="center"/>
      <protection hidden="1"/>
    </xf>
    <xf numFmtId="0" fontId="4" fillId="0" borderId="0" xfId="52" applyFont="1" applyAlignment="1" applyProtection="1">
      <alignment horizontal="left" vertical="center"/>
      <protection hidden="1"/>
    </xf>
    <xf numFmtId="0" fontId="4" fillId="0" borderId="1" xfId="52" applyFont="1" applyBorder="1" applyAlignment="1" applyProtection="1">
      <alignment horizontal="center" vertical="top" wrapText="1"/>
      <protection hidden="1"/>
    </xf>
    <xf numFmtId="0" fontId="4" fillId="0" borderId="6" xfId="52" applyFont="1" applyBorder="1" applyAlignment="1" applyProtection="1">
      <alignment horizontal="left" vertical="center"/>
      <protection hidden="1"/>
    </xf>
    <xf numFmtId="0" fontId="7" fillId="0" borderId="0" xfId="52" applyFont="1" applyAlignment="1" applyProtection="1">
      <alignment wrapText="1"/>
      <protection hidden="1"/>
    </xf>
    <xf numFmtId="0" fontId="7" fillId="0" borderId="1" xfId="52" applyFont="1" applyBorder="1" applyAlignment="1" applyProtection="1">
      <alignment horizontal="center" vertical="center"/>
      <protection hidden="1"/>
    </xf>
    <xf numFmtId="0" fontId="7" fillId="0" borderId="1" xfId="52" applyFont="1" applyBorder="1" applyAlignment="1" applyProtection="1">
      <alignment horizontal="center" vertical="center" wrapText="1"/>
      <protection hidden="1"/>
    </xf>
    <xf numFmtId="0" fontId="7" fillId="0" borderId="1" xfId="52" applyFont="1" applyBorder="1" applyAlignment="1" applyProtection="1">
      <alignment vertical="center"/>
      <protection hidden="1"/>
    </xf>
    <xf numFmtId="5" fontId="78" fillId="0" borderId="1" xfId="30" applyNumberFormat="1" applyFont="1" applyBorder="1" applyAlignment="1" applyProtection="1">
      <alignment horizontal="center" vertical="center"/>
      <protection hidden="1"/>
    </xf>
    <xf numFmtId="0" fontId="23" fillId="13" borderId="12" xfId="53" applyFont="1" applyFill="1" applyBorder="1" applyAlignment="1" applyProtection="1">
      <alignment horizontal="center" vertical="center" wrapText="1"/>
      <protection hidden="1"/>
    </xf>
    <xf numFmtId="0" fontId="45" fillId="0" borderId="0" xfId="0" applyFont="1" applyProtection="1">
      <protection hidden="1"/>
    </xf>
    <xf numFmtId="3" fontId="80" fillId="0" borderId="1" xfId="52" applyNumberFormat="1" applyFont="1" applyBorder="1" applyAlignment="1" applyProtection="1">
      <alignment horizontal="center" vertical="center" wrapText="1"/>
      <protection hidden="1"/>
    </xf>
    <xf numFmtId="171" fontId="80" fillId="0" borderId="1" xfId="52" applyNumberFormat="1" applyFont="1" applyBorder="1" applyAlignment="1" applyProtection="1">
      <alignment horizontal="center" vertical="center" wrapText="1"/>
      <protection hidden="1"/>
    </xf>
    <xf numFmtId="170" fontId="80" fillId="0" borderId="1" xfId="52" applyNumberFormat="1" applyFont="1" applyBorder="1" applyAlignment="1" applyProtection="1">
      <alignment horizontal="center" vertical="center" wrapText="1"/>
      <protection hidden="1"/>
    </xf>
    <xf numFmtId="1" fontId="80" fillId="0" borderId="10" xfId="52" applyNumberFormat="1" applyFont="1" applyBorder="1" applyAlignment="1" applyProtection="1">
      <alignment horizontal="center" vertical="center" wrapText="1"/>
      <protection hidden="1"/>
    </xf>
    <xf numFmtId="0" fontId="79" fillId="0" borderId="0" xfId="52" applyFont="1" applyAlignment="1" applyProtection="1">
      <alignment horizontal="center" vertical="center" wrapText="1"/>
      <protection hidden="1"/>
    </xf>
    <xf numFmtId="0" fontId="38" fillId="8" borderId="5" xfId="0" applyFont="1" applyFill="1" applyBorder="1" applyAlignment="1">
      <alignment horizontal="center"/>
    </xf>
    <xf numFmtId="0" fontId="38" fillId="8" borderId="9" xfId="0" applyFont="1" applyFill="1" applyBorder="1" applyAlignment="1">
      <alignment horizontal="center"/>
    </xf>
    <xf numFmtId="174" fontId="37" fillId="0" borderId="1" xfId="4" applyNumberFormat="1" applyFont="1" applyBorder="1" applyAlignment="1">
      <alignment vertical="center"/>
    </xf>
    <xf numFmtId="9" fontId="37" fillId="0" borderId="1" xfId="57" applyFont="1" applyBorder="1" applyAlignment="1">
      <alignment horizontal="center" vertical="center"/>
    </xf>
    <xf numFmtId="2" fontId="37" fillId="0" borderId="1" xfId="57" applyNumberFormat="1" applyFont="1" applyBorder="1" applyAlignment="1">
      <alignment horizontal="center" vertical="center"/>
    </xf>
    <xf numFmtId="0" fontId="4" fillId="0" borderId="5" xfId="52" applyFont="1" applyBorder="1" applyAlignment="1" applyProtection="1">
      <alignment horizontal="center" vertical="center" wrapText="1"/>
      <protection hidden="1"/>
    </xf>
    <xf numFmtId="0" fontId="4" fillId="0" borderId="10" xfId="52" applyFont="1" applyBorder="1" applyAlignment="1" applyProtection="1">
      <alignment horizontal="center" vertical="center" wrapText="1"/>
      <protection hidden="1"/>
    </xf>
    <xf numFmtId="0" fontId="15" fillId="0" borderId="0" xfId="0" applyFont="1" applyAlignment="1" applyProtection="1">
      <alignment vertical="center" wrapText="1"/>
      <protection hidden="1"/>
    </xf>
    <xf numFmtId="172" fontId="4" fillId="0" borderId="1" xfId="30" applyNumberFormat="1" applyFont="1" applyBorder="1" applyAlignment="1" applyProtection="1">
      <alignment horizontal="center" vertical="center"/>
      <protection hidden="1"/>
    </xf>
    <xf numFmtId="0" fontId="7" fillId="0" borderId="14" xfId="52" applyFont="1" applyBorder="1" applyAlignment="1" applyProtection="1">
      <alignment vertical="center"/>
      <protection hidden="1"/>
    </xf>
    <xf numFmtId="0" fontId="7" fillId="0" borderId="14" xfId="52" applyFont="1" applyBorder="1" applyProtection="1">
      <protection hidden="1"/>
    </xf>
    <xf numFmtId="0" fontId="3" fillId="0" borderId="0" xfId="52" applyFont="1" applyAlignment="1" applyProtection="1">
      <alignment horizontal="left"/>
      <protection hidden="1"/>
    </xf>
    <xf numFmtId="0" fontId="3" fillId="0" borderId="0" xfId="52" applyFont="1" applyProtection="1">
      <protection hidden="1"/>
    </xf>
    <xf numFmtId="0" fontId="52" fillId="0" borderId="0" xfId="0" applyFont="1" applyAlignment="1" applyProtection="1">
      <alignment horizontal="center"/>
      <protection hidden="1"/>
    </xf>
    <xf numFmtId="0" fontId="42" fillId="14" borderId="6" xfId="0" applyFont="1" applyFill="1" applyBorder="1" applyProtection="1">
      <protection hidden="1"/>
    </xf>
    <xf numFmtId="0" fontId="38" fillId="8" borderId="1" xfId="0" applyFont="1" applyFill="1" applyBorder="1" applyAlignment="1">
      <alignment horizontal="center"/>
    </xf>
    <xf numFmtId="0" fontId="83" fillId="0" borderId="0" xfId="0" applyFont="1" applyProtection="1">
      <protection hidden="1"/>
    </xf>
    <xf numFmtId="0" fontId="7" fillId="0" borderId="6" xfId="52" applyFont="1" applyBorder="1" applyAlignment="1" applyProtection="1">
      <alignment wrapText="1"/>
      <protection hidden="1"/>
    </xf>
    <xf numFmtId="0" fontId="23" fillId="14" borderId="0" xfId="53" applyFont="1" applyFill="1" applyAlignment="1" applyProtection="1">
      <alignment horizontal="center" vertical="center" wrapText="1"/>
      <protection hidden="1"/>
    </xf>
    <xf numFmtId="0" fontId="42" fillId="0" borderId="14" xfId="0" applyFont="1" applyBorder="1" applyProtection="1">
      <protection hidden="1"/>
    </xf>
    <xf numFmtId="0" fontId="26" fillId="0" borderId="14" xfId="0" applyFont="1" applyBorder="1" applyAlignment="1" applyProtection="1">
      <alignment vertical="center"/>
      <protection hidden="1"/>
    </xf>
    <xf numFmtId="0" fontId="26" fillId="0" borderId="14" xfId="0" applyFont="1" applyBorder="1" applyProtection="1">
      <protection hidden="1"/>
    </xf>
    <xf numFmtId="173" fontId="3" fillId="0" borderId="0" xfId="52" applyNumberFormat="1" applyFont="1" applyAlignment="1" applyProtection="1">
      <alignment horizontal="left"/>
      <protection hidden="1"/>
    </xf>
    <xf numFmtId="0" fontId="5" fillId="14" borderId="0" xfId="52" applyFont="1" applyFill="1" applyAlignment="1" applyProtection="1">
      <alignment vertical="center"/>
      <protection hidden="1"/>
    </xf>
    <xf numFmtId="0" fontId="4" fillId="14" borderId="0" xfId="52" applyFont="1" applyFill="1" applyAlignment="1" applyProtection="1">
      <alignment horizontal="center" vertical="center" wrapText="1"/>
      <protection hidden="1"/>
    </xf>
    <xf numFmtId="0" fontId="4" fillId="14" borderId="8" xfId="52" applyFont="1" applyFill="1" applyBorder="1" applyAlignment="1" applyProtection="1">
      <alignment horizontal="center" vertical="center" wrapText="1"/>
      <protection hidden="1"/>
    </xf>
    <xf numFmtId="5" fontId="4" fillId="14" borderId="0" xfId="30" applyNumberFormat="1" applyFont="1" applyFill="1" applyBorder="1" applyAlignment="1" applyProtection="1">
      <alignment horizontal="center" vertical="center"/>
      <protection hidden="1"/>
    </xf>
    <xf numFmtId="0" fontId="4" fillId="14" borderId="8" xfId="52" applyFont="1" applyFill="1" applyBorder="1" applyAlignment="1" applyProtection="1">
      <alignment horizontal="center" vertical="center"/>
      <protection hidden="1"/>
    </xf>
    <xf numFmtId="5" fontId="4" fillId="14" borderId="8" xfId="30" applyNumberFormat="1" applyFont="1" applyFill="1" applyBorder="1" applyAlignment="1" applyProtection="1">
      <alignment horizontal="center" vertical="center"/>
      <protection hidden="1"/>
    </xf>
    <xf numFmtId="0" fontId="23" fillId="14" borderId="6" xfId="53" applyFont="1" applyFill="1" applyBorder="1" applyAlignment="1" applyProtection="1">
      <alignment horizontal="center" vertical="center" wrapText="1"/>
      <protection hidden="1"/>
    </xf>
    <xf numFmtId="0" fontId="42" fillId="0" borderId="6" xfId="0" applyFont="1" applyBorder="1" applyProtection="1">
      <protection hidden="1"/>
    </xf>
    <xf numFmtId="0" fontId="23" fillId="13" borderId="13" xfId="53" applyFont="1" applyFill="1" applyBorder="1" applyAlignment="1" applyProtection="1">
      <alignment vertical="center" wrapText="1"/>
      <protection hidden="1"/>
    </xf>
    <xf numFmtId="0" fontId="83" fillId="0" borderId="11" xfId="0" applyFont="1" applyBorder="1" applyProtection="1">
      <protection hidden="1"/>
    </xf>
    <xf numFmtId="0" fontId="7" fillId="11" borderId="1" xfId="0" applyFont="1" applyFill="1" applyBorder="1" applyProtection="1">
      <protection locked="0"/>
    </xf>
    <xf numFmtId="0" fontId="3" fillId="0" borderId="0" xfId="52" applyFont="1" applyAlignment="1" applyProtection="1">
      <alignment horizontal="left" vertical="top"/>
      <protection hidden="1"/>
    </xf>
    <xf numFmtId="173" fontId="39" fillId="0" borderId="0" xfId="49" applyNumberFormat="1" applyBorder="1" applyAlignment="1" applyProtection="1">
      <alignment vertical="top"/>
      <protection hidden="1"/>
    </xf>
    <xf numFmtId="1" fontId="37" fillId="0" borderId="1" xfId="57" applyNumberFormat="1" applyFont="1" applyBorder="1" applyAlignment="1">
      <alignment horizontal="center" vertical="center"/>
    </xf>
    <xf numFmtId="173" fontId="3" fillId="0" borderId="0" xfId="52" applyNumberFormat="1" applyFont="1" applyProtection="1">
      <protection hidden="1"/>
    </xf>
    <xf numFmtId="0" fontId="54" fillId="0" borderId="0" xfId="0" applyFont="1" applyAlignment="1" applyProtection="1">
      <alignment horizontal="left"/>
      <protection hidden="1"/>
    </xf>
    <xf numFmtId="3" fontId="7" fillId="6" borderId="1" xfId="0" applyNumberFormat="1" applyFont="1" applyFill="1" applyBorder="1" applyProtection="1">
      <protection locked="0"/>
    </xf>
    <xf numFmtId="167" fontId="37" fillId="0" borderId="1" xfId="57" applyNumberFormat="1" applyFont="1" applyBorder="1" applyAlignment="1">
      <alignment horizontal="center" vertical="center"/>
    </xf>
    <xf numFmtId="0" fontId="43" fillId="0" borderId="0" xfId="0" applyFont="1" applyAlignment="1" applyProtection="1">
      <alignment horizontal="right" vertical="top"/>
      <protection hidden="1"/>
    </xf>
    <xf numFmtId="0" fontId="7" fillId="0" borderId="0" xfId="0" applyFont="1" applyAlignment="1" applyProtection="1">
      <alignment vertical="top"/>
      <protection hidden="1"/>
    </xf>
    <xf numFmtId="0" fontId="3" fillId="0" borderId="0" xfId="0" applyFont="1" applyAlignment="1" applyProtection="1">
      <alignment vertical="top"/>
      <protection hidden="1"/>
    </xf>
    <xf numFmtId="0" fontId="45" fillId="0" borderId="0" xfId="0" applyFont="1" applyAlignment="1" applyProtection="1">
      <alignment vertical="top"/>
      <protection hidden="1"/>
    </xf>
    <xf numFmtId="0" fontId="23" fillId="0" borderId="12" xfId="53" applyFont="1" applyBorder="1" applyAlignment="1" applyProtection="1">
      <alignment vertical="center" wrapText="1"/>
      <protection hidden="1"/>
    </xf>
    <xf numFmtId="0" fontId="78" fillId="0" borderId="0" xfId="0" applyFont="1" applyProtection="1">
      <protection hidden="1"/>
    </xf>
    <xf numFmtId="0" fontId="42" fillId="15" borderId="0" xfId="0" applyFont="1" applyFill="1" applyProtection="1">
      <protection hidden="1"/>
    </xf>
    <xf numFmtId="0" fontId="42" fillId="15" borderId="57" xfId="0" applyFont="1" applyFill="1" applyBorder="1" applyProtection="1">
      <protection hidden="1"/>
    </xf>
    <xf numFmtId="0" fontId="85" fillId="15" borderId="0" xfId="0" applyFont="1" applyFill="1" applyProtection="1">
      <protection hidden="1"/>
    </xf>
    <xf numFmtId="0" fontId="86" fillId="0" borderId="0" xfId="0" applyFont="1" applyAlignment="1" applyProtection="1">
      <alignment vertical="center"/>
      <protection hidden="1"/>
    </xf>
    <xf numFmtId="0" fontId="85" fillId="0" borderId="0" xfId="0" applyFont="1" applyProtection="1">
      <protection hidden="1"/>
    </xf>
    <xf numFmtId="0" fontId="55" fillId="16" borderId="0" xfId="0" applyFont="1" applyFill="1" applyAlignment="1" applyProtection="1">
      <alignment vertical="center" wrapText="1"/>
      <protection hidden="1"/>
    </xf>
    <xf numFmtId="0" fontId="56" fillId="16" borderId="57" xfId="0" applyFont="1" applyFill="1" applyBorder="1" applyAlignment="1" applyProtection="1">
      <alignment vertical="center"/>
      <protection hidden="1"/>
    </xf>
    <xf numFmtId="0" fontId="42" fillId="14" borderId="0" xfId="0" applyFont="1" applyFill="1" applyProtection="1">
      <protection hidden="1"/>
    </xf>
    <xf numFmtId="0" fontId="21" fillId="14" borderId="0" xfId="0" applyFont="1" applyFill="1" applyAlignment="1" applyProtection="1">
      <alignment vertical="center"/>
      <protection hidden="1"/>
    </xf>
    <xf numFmtId="0" fontId="56" fillId="7" borderId="0" xfId="0" applyFont="1" applyFill="1" applyAlignment="1" applyProtection="1">
      <alignment vertical="center"/>
      <protection hidden="1"/>
    </xf>
    <xf numFmtId="167" fontId="37" fillId="0" borderId="1" xfId="4" applyNumberFormat="1" applyFont="1" applyBorder="1" applyAlignment="1">
      <alignment vertical="center"/>
    </xf>
    <xf numFmtId="0" fontId="78" fillId="14" borderId="0" xfId="0" applyFont="1" applyFill="1" applyProtection="1">
      <protection hidden="1"/>
    </xf>
    <xf numFmtId="0" fontId="7" fillId="0" borderId="0" xfId="52" applyFont="1" applyAlignment="1" applyProtection="1">
      <alignment horizontal="center" vertical="center"/>
      <protection hidden="1"/>
    </xf>
    <xf numFmtId="0" fontId="4" fillId="0" borderId="0" xfId="52" applyFont="1" applyAlignment="1" applyProtection="1">
      <alignment horizontal="center" vertical="center" wrapText="1"/>
      <protection hidden="1"/>
    </xf>
    <xf numFmtId="5" fontId="78" fillId="0" borderId="0" xfId="30" applyNumberFormat="1" applyFont="1" applyBorder="1" applyAlignment="1" applyProtection="1">
      <alignment horizontal="center" vertical="center"/>
      <protection hidden="1"/>
    </xf>
    <xf numFmtId="0" fontId="13" fillId="0" borderId="0" xfId="52" applyFont="1" applyAlignment="1" applyProtection="1">
      <alignment vertical="top"/>
      <protection hidden="1"/>
    </xf>
    <xf numFmtId="0" fontId="89" fillId="0" borderId="0" xfId="52" applyFont="1" applyAlignment="1" applyProtection="1">
      <alignment horizontal="right" vertical="center" wrapText="1"/>
      <protection hidden="1"/>
    </xf>
    <xf numFmtId="0" fontId="13" fillId="0" borderId="9" xfId="52" applyFont="1" applyBorder="1" applyAlignment="1" applyProtection="1">
      <alignment horizontal="center" vertical="center" wrapText="1"/>
      <protection hidden="1"/>
    </xf>
    <xf numFmtId="0" fontId="42" fillId="0" borderId="1" xfId="0" applyFont="1" applyBorder="1" applyProtection="1">
      <protection hidden="1"/>
    </xf>
    <xf numFmtId="0" fontId="42" fillId="0" borderId="0" xfId="0" quotePrefix="1" applyFont="1" applyAlignment="1" applyProtection="1">
      <alignment horizontal="left" vertical="top"/>
      <protection hidden="1"/>
    </xf>
    <xf numFmtId="0" fontId="4" fillId="0" borderId="1" xfId="52" quotePrefix="1" applyFont="1" applyBorder="1" applyAlignment="1" applyProtection="1">
      <alignment vertical="center" wrapText="1"/>
      <protection hidden="1"/>
    </xf>
    <xf numFmtId="0" fontId="19" fillId="0" borderId="15" xfId="52" applyFont="1" applyBorder="1" applyAlignment="1" applyProtection="1">
      <alignment horizontal="left"/>
      <protection hidden="1"/>
    </xf>
    <xf numFmtId="0" fontId="19" fillId="0" borderId="6" xfId="52" applyFont="1" applyBorder="1" applyAlignment="1" applyProtection="1">
      <alignment horizontal="left"/>
      <protection hidden="1"/>
    </xf>
    <xf numFmtId="0" fontId="46" fillId="0" borderId="6" xfId="0" applyFont="1" applyBorder="1" applyAlignment="1" applyProtection="1">
      <alignment horizontal="left"/>
      <protection hidden="1"/>
    </xf>
    <xf numFmtId="0" fontId="46" fillId="0" borderId="16" xfId="0" applyFont="1" applyBorder="1" applyAlignment="1" applyProtection="1">
      <alignment horizontal="left"/>
      <protection hidden="1"/>
    </xf>
    <xf numFmtId="4" fontId="19" fillId="0" borderId="1" xfId="4" applyNumberFormat="1" applyFont="1" applyBorder="1" applyAlignment="1" applyProtection="1">
      <alignment vertical="center"/>
      <protection hidden="1"/>
    </xf>
    <xf numFmtId="3" fontId="19" fillId="0" borderId="1" xfId="4" applyNumberFormat="1" applyFont="1" applyBorder="1" applyAlignment="1" applyProtection="1">
      <alignment vertical="center" wrapText="1"/>
      <protection hidden="1"/>
    </xf>
    <xf numFmtId="175" fontId="19" fillId="0" borderId="1" xfId="4" applyNumberFormat="1" applyFont="1" applyBorder="1" applyAlignment="1" applyProtection="1">
      <alignment vertical="center" wrapText="1"/>
      <protection hidden="1"/>
    </xf>
    <xf numFmtId="169" fontId="46" fillId="0" borderId="1" xfId="0" applyNumberFormat="1" applyFont="1" applyBorder="1" applyProtection="1">
      <protection hidden="1"/>
    </xf>
    <xf numFmtId="0" fontId="4" fillId="0" borderId="1" xfId="52" applyFont="1" applyBorder="1" applyAlignment="1" applyProtection="1">
      <alignment horizontal="left" vertical="top" wrapText="1"/>
      <protection hidden="1"/>
    </xf>
    <xf numFmtId="0" fontId="7" fillId="0" borderId="9" xfId="52" applyFont="1" applyBorder="1" applyAlignment="1" applyProtection="1">
      <alignment vertical="center"/>
      <protection hidden="1"/>
    </xf>
    <xf numFmtId="0" fontId="3" fillId="0" borderId="0" xfId="52" applyFont="1" applyAlignment="1">
      <alignment horizontal="right"/>
    </xf>
    <xf numFmtId="0" fontId="78" fillId="14" borderId="0" xfId="0" applyFont="1" applyFill="1"/>
    <xf numFmtId="0" fontId="42" fillId="0" borderId="0" xfId="0" applyFont="1" applyAlignment="1">
      <alignment horizontal="right"/>
    </xf>
    <xf numFmtId="0" fontId="45" fillId="9" borderId="0" xfId="0" applyFont="1" applyFill="1"/>
    <xf numFmtId="0" fontId="45" fillId="9" borderId="0" xfId="0" applyFont="1" applyFill="1" applyAlignment="1">
      <alignment horizontal="left"/>
    </xf>
    <xf numFmtId="49" fontId="45" fillId="9" borderId="0" xfId="0" applyNumberFormat="1" applyFont="1" applyFill="1" applyAlignment="1">
      <alignment horizontal="left"/>
    </xf>
    <xf numFmtId="14" fontId="45" fillId="0" borderId="0" xfId="0" applyNumberFormat="1" applyFont="1"/>
    <xf numFmtId="169" fontId="78" fillId="14" borderId="0" xfId="0" applyNumberFormat="1" applyFont="1" applyFill="1" applyProtection="1">
      <protection hidden="1"/>
    </xf>
    <xf numFmtId="0" fontId="3" fillId="6" borderId="1" xfId="52" applyFont="1" applyFill="1" applyBorder="1" applyAlignment="1" applyProtection="1">
      <alignment horizontal="right"/>
      <protection locked="0"/>
    </xf>
    <xf numFmtId="9" fontId="3" fillId="6" borderId="1" xfId="52" applyNumberFormat="1" applyFont="1" applyFill="1" applyBorder="1" applyAlignment="1" applyProtection="1">
      <alignment horizontal="right"/>
      <protection locked="0"/>
    </xf>
    <xf numFmtId="0" fontId="42" fillId="6" borderId="1" xfId="0" applyFont="1" applyFill="1" applyBorder="1" applyAlignment="1" applyProtection="1">
      <alignment horizontal="right"/>
      <protection locked="0"/>
    </xf>
    <xf numFmtId="0" fontId="42" fillId="6" borderId="1" xfId="0" applyFont="1" applyFill="1" applyBorder="1" applyProtection="1">
      <protection locked="0"/>
    </xf>
    <xf numFmtId="176" fontId="3" fillId="6" borderId="1" xfId="3" applyNumberFormat="1" applyFont="1" applyFill="1" applyBorder="1" applyAlignment="1" applyProtection="1">
      <alignment horizontal="right"/>
      <protection locked="0"/>
    </xf>
    <xf numFmtId="0" fontId="43" fillId="0" borderId="0" xfId="0" applyFont="1" applyAlignment="1" applyProtection="1">
      <alignment horizontal="center" vertical="top"/>
      <protection hidden="1"/>
    </xf>
    <xf numFmtId="0" fontId="42" fillId="14" borderId="0" xfId="0" applyFont="1" applyFill="1" applyAlignment="1" applyProtection="1">
      <alignment horizontal="left" vertical="center"/>
      <protection hidden="1"/>
    </xf>
    <xf numFmtId="0" fontId="89" fillId="14" borderId="0" xfId="52" applyFont="1" applyFill="1" applyAlignment="1" applyProtection="1">
      <alignment horizontal="right" vertical="center" wrapText="1"/>
      <protection hidden="1"/>
    </xf>
    <xf numFmtId="0" fontId="15" fillId="14" borderId="0" xfId="52" applyFont="1" applyFill="1" applyAlignment="1" applyProtection="1">
      <alignment horizontal="left" vertical="center"/>
      <protection hidden="1"/>
    </xf>
    <xf numFmtId="0" fontId="50" fillId="14" borderId="0" xfId="52" applyFont="1" applyFill="1" applyAlignment="1" applyProtection="1">
      <alignment horizontal="left" vertical="center" wrapText="1"/>
      <protection hidden="1"/>
    </xf>
    <xf numFmtId="0" fontId="7" fillId="0" borderId="10" xfId="52" applyFont="1" applyBorder="1" applyAlignment="1" applyProtection="1">
      <alignment vertical="center"/>
      <protection hidden="1"/>
    </xf>
    <xf numFmtId="0" fontId="13" fillId="0" borderId="10" xfId="52" applyFont="1" applyBorder="1" applyAlignment="1" applyProtection="1">
      <alignment horizontal="left" vertical="center"/>
      <protection hidden="1"/>
    </xf>
    <xf numFmtId="0" fontId="49" fillId="14" borderId="0" xfId="52" applyFont="1" applyFill="1" applyAlignment="1" applyProtection="1">
      <alignment vertical="center" wrapText="1"/>
      <protection hidden="1"/>
    </xf>
    <xf numFmtId="0" fontId="7" fillId="14" borderId="0" xfId="52" applyFont="1" applyFill="1" applyProtection="1">
      <protection hidden="1"/>
    </xf>
    <xf numFmtId="0" fontId="60" fillId="14" borderId="0" xfId="0" applyFont="1" applyFill="1" applyAlignment="1" applyProtection="1">
      <alignment horizontal="center"/>
      <protection locked="0"/>
    </xf>
    <xf numFmtId="0" fontId="46" fillId="9" borderId="0" xfId="0" applyFont="1" applyFill="1" applyAlignment="1">
      <alignment horizontal="left" wrapText="1"/>
    </xf>
    <xf numFmtId="14" fontId="45" fillId="0" borderId="0" xfId="0" applyNumberFormat="1" applyFont="1" applyAlignment="1">
      <alignment horizontal="left"/>
    </xf>
    <xf numFmtId="0" fontId="58" fillId="17" borderId="0" xfId="0" applyFont="1" applyFill="1" applyAlignment="1" applyProtection="1">
      <alignment vertical="center"/>
      <protection hidden="1"/>
    </xf>
    <xf numFmtId="0" fontId="42" fillId="17" borderId="0" xfId="0" applyFont="1" applyFill="1" applyProtection="1">
      <protection hidden="1"/>
    </xf>
    <xf numFmtId="0" fontId="42" fillId="17" borderId="57" xfId="0" applyFont="1" applyFill="1" applyBorder="1" applyProtection="1">
      <protection hidden="1"/>
    </xf>
    <xf numFmtId="0" fontId="58" fillId="14" borderId="0" xfId="0" applyFont="1" applyFill="1" applyProtection="1">
      <protection hidden="1"/>
    </xf>
    <xf numFmtId="0" fontId="101" fillId="0" borderId="0" xfId="0" applyFont="1" applyProtection="1">
      <protection hidden="1"/>
    </xf>
    <xf numFmtId="0" fontId="102" fillId="0" borderId="0" xfId="0" applyFont="1" applyAlignment="1" applyProtection="1">
      <alignment horizontal="left" vertical="top"/>
      <protection hidden="1"/>
    </xf>
    <xf numFmtId="0" fontId="103" fillId="0" borderId="0" xfId="0" applyFont="1" applyAlignment="1" applyProtection="1">
      <alignment horizontal="right" vertical="top"/>
      <protection hidden="1"/>
    </xf>
    <xf numFmtId="0" fontId="103" fillId="0" borderId="0" xfId="0" applyFont="1" applyAlignment="1" applyProtection="1">
      <alignment horizontal="left" vertical="top"/>
      <protection hidden="1"/>
    </xf>
    <xf numFmtId="0" fontId="58" fillId="14" borderId="0" xfId="0" applyFont="1" applyFill="1" applyAlignment="1" applyProtection="1">
      <alignment vertical="center"/>
      <protection hidden="1"/>
    </xf>
    <xf numFmtId="0" fontId="55" fillId="14" borderId="0" xfId="0" applyFont="1" applyFill="1" applyAlignment="1" applyProtection="1">
      <alignment vertical="center"/>
      <protection hidden="1"/>
    </xf>
    <xf numFmtId="0" fontId="85" fillId="14" borderId="0" xfId="0" applyFont="1" applyFill="1" applyProtection="1">
      <protection hidden="1"/>
    </xf>
    <xf numFmtId="0" fontId="104" fillId="0" borderId="0" xfId="0" applyFont="1" applyAlignment="1" applyProtection="1">
      <alignment horizontal="left" vertical="center"/>
      <protection hidden="1"/>
    </xf>
    <xf numFmtId="0" fontId="49" fillId="14" borderId="10" xfId="52" applyFont="1" applyFill="1" applyBorder="1" applyAlignment="1" applyProtection="1">
      <alignment horizontal="center" vertical="center" wrapText="1"/>
      <protection hidden="1"/>
    </xf>
    <xf numFmtId="0" fontId="48" fillId="14" borderId="10" xfId="52" applyFont="1" applyFill="1" applyBorder="1" applyAlignment="1" applyProtection="1">
      <alignment horizontal="center" vertical="center" wrapText="1"/>
      <protection hidden="1"/>
    </xf>
    <xf numFmtId="0" fontId="4" fillId="17" borderId="0" xfId="52" applyFont="1" applyFill="1" applyProtection="1">
      <protection hidden="1"/>
    </xf>
    <xf numFmtId="0" fontId="58" fillId="17" borderId="0" xfId="0" applyFont="1" applyFill="1" applyAlignment="1" applyProtection="1">
      <alignment vertical="center" wrapText="1"/>
      <protection hidden="1"/>
    </xf>
    <xf numFmtId="0" fontId="55" fillId="7" borderId="0" xfId="0" applyFont="1" applyFill="1" applyAlignment="1" applyProtection="1">
      <alignment vertical="center" wrapText="1"/>
      <protection hidden="1"/>
    </xf>
    <xf numFmtId="0" fontId="22" fillId="14" borderId="0" xfId="0" applyFont="1" applyFill="1" applyAlignment="1" applyProtection="1">
      <alignment vertical="center" wrapText="1"/>
      <protection hidden="1"/>
    </xf>
    <xf numFmtId="0" fontId="79" fillId="17" borderId="1" xfId="0" applyFont="1" applyFill="1" applyBorder="1" applyAlignment="1" applyProtection="1">
      <alignment horizontal="center" vertical="center"/>
      <protection hidden="1"/>
    </xf>
    <xf numFmtId="0" fontId="91" fillId="17" borderId="0" xfId="0" applyFont="1" applyFill="1" applyAlignment="1" applyProtection="1">
      <alignment vertical="center"/>
      <protection hidden="1"/>
    </xf>
    <xf numFmtId="0" fontId="92" fillId="17" borderId="0" xfId="0" applyFont="1" applyFill="1" applyAlignment="1" applyProtection="1">
      <alignment vertical="center"/>
      <protection hidden="1"/>
    </xf>
    <xf numFmtId="0" fontId="86" fillId="17" borderId="0" xfId="0" applyFont="1" applyFill="1" applyAlignment="1" applyProtection="1">
      <alignment vertical="center"/>
      <protection hidden="1"/>
    </xf>
    <xf numFmtId="0" fontId="86" fillId="14" borderId="0" xfId="0" applyFont="1" applyFill="1" applyAlignment="1" applyProtection="1">
      <alignment vertical="center"/>
      <protection hidden="1"/>
    </xf>
    <xf numFmtId="0" fontId="55" fillId="0" borderId="0" xfId="0" applyFont="1" applyAlignment="1" applyProtection="1">
      <alignment vertical="center" wrapText="1"/>
      <protection hidden="1"/>
    </xf>
    <xf numFmtId="0" fontId="58" fillId="0" borderId="0" xfId="0" applyFont="1" applyAlignment="1" applyProtection="1">
      <alignment vertical="center"/>
      <protection hidden="1"/>
    </xf>
    <xf numFmtId="0" fontId="58" fillId="0" borderId="0" xfId="0" applyFont="1" applyProtection="1">
      <protection hidden="1"/>
    </xf>
    <xf numFmtId="0" fontId="91" fillId="0" borderId="0" xfId="0" applyFont="1" applyAlignment="1" applyProtection="1">
      <alignment vertical="center"/>
      <protection hidden="1"/>
    </xf>
    <xf numFmtId="0" fontId="92" fillId="0" borderId="0" xfId="0" applyFont="1" applyAlignment="1" applyProtection="1">
      <alignment vertical="center"/>
      <protection hidden="1"/>
    </xf>
    <xf numFmtId="0" fontId="58" fillId="0" borderId="0" xfId="0" applyFont="1" applyAlignment="1" applyProtection="1">
      <alignment vertical="center" wrapText="1"/>
      <protection hidden="1"/>
    </xf>
    <xf numFmtId="0" fontId="22" fillId="0" borderId="0" xfId="0" applyFont="1" applyAlignment="1" applyProtection="1">
      <alignment vertical="center" wrapText="1"/>
      <protection hidden="1"/>
    </xf>
    <xf numFmtId="0" fontId="46" fillId="0" borderId="0" xfId="0" applyFont="1" applyAlignment="1">
      <alignment horizontal="left"/>
    </xf>
    <xf numFmtId="0" fontId="105" fillId="0" borderId="0" xfId="0" applyFont="1" applyAlignment="1">
      <alignment horizontal="left"/>
    </xf>
    <xf numFmtId="14" fontId="45" fillId="3" borderId="7" xfId="0" applyNumberFormat="1" applyFont="1" applyFill="1" applyBorder="1"/>
    <xf numFmtId="0" fontId="4" fillId="0" borderId="0" xfId="52" applyFont="1" applyAlignment="1" applyProtection="1">
      <alignment horizontal="center" vertical="center"/>
      <protection hidden="1"/>
    </xf>
    <xf numFmtId="0" fontId="4" fillId="0" borderId="0" xfId="52" applyFont="1" applyAlignment="1" applyProtection="1">
      <alignment horizontal="center" vertical="top" wrapText="1"/>
      <protection hidden="1"/>
    </xf>
    <xf numFmtId="172" fontId="4" fillId="0" borderId="0" xfId="30" applyNumberFormat="1" applyFont="1" applyBorder="1" applyAlignment="1" applyProtection="1">
      <alignment horizontal="center" vertical="center"/>
      <protection hidden="1"/>
    </xf>
    <xf numFmtId="0" fontId="23" fillId="0" borderId="11" xfId="53" applyFont="1" applyBorder="1" applyAlignment="1" applyProtection="1">
      <alignment vertical="center" wrapText="1"/>
      <protection hidden="1"/>
    </xf>
    <xf numFmtId="0" fontId="40" fillId="0" borderId="0" xfId="50" applyAlignment="1" applyProtection="1">
      <alignment horizontal="left"/>
      <protection locked="0"/>
    </xf>
    <xf numFmtId="0" fontId="42" fillId="0" borderId="0" xfId="0" applyFont="1" applyProtection="1">
      <protection locked="0"/>
    </xf>
    <xf numFmtId="0" fontId="113" fillId="0" borderId="0" xfId="0" quotePrefix="1" applyFont="1"/>
    <xf numFmtId="0" fontId="113" fillId="0" borderId="0" xfId="0" applyFont="1"/>
    <xf numFmtId="0" fontId="112" fillId="0" borderId="0" xfId="0" applyFont="1"/>
    <xf numFmtId="0" fontId="13" fillId="0" borderId="0" xfId="0" quotePrefix="1" applyFont="1" applyAlignment="1" applyProtection="1">
      <alignment horizontal="left" vertical="center" wrapText="1"/>
      <protection hidden="1"/>
    </xf>
    <xf numFmtId="0" fontId="15" fillId="0" borderId="0" xfId="52" quotePrefix="1" applyFont="1" applyAlignment="1" applyProtection="1">
      <alignment horizontal="left" vertical="center"/>
      <protection hidden="1"/>
    </xf>
    <xf numFmtId="0" fontId="0" fillId="17" borderId="0" xfId="0" applyFill="1"/>
    <xf numFmtId="0" fontId="0" fillId="0" borderId="53" xfId="0" applyBorder="1"/>
    <xf numFmtId="0" fontId="0" fillId="0" borderId="54" xfId="0" applyBorder="1"/>
    <xf numFmtId="0" fontId="0" fillId="0" borderId="63" xfId="0" applyBorder="1"/>
    <xf numFmtId="0" fontId="38" fillId="17" borderId="7" xfId="0" applyFont="1" applyFill="1" applyBorder="1"/>
    <xf numFmtId="0" fontId="118" fillId="0" borderId="16" xfId="0" applyFont="1" applyBorder="1" applyAlignment="1">
      <alignment vertical="center" wrapText="1"/>
    </xf>
    <xf numFmtId="2" fontId="119" fillId="0" borderId="2" xfId="66" applyNumberFormat="1" applyFont="1" applyBorder="1" applyAlignment="1">
      <alignment horizontal="center" vertical="center" wrapText="1"/>
    </xf>
    <xf numFmtId="0" fontId="120" fillId="0" borderId="2" xfId="66" applyFont="1" applyBorder="1" applyAlignment="1">
      <alignment vertical="center" wrapText="1"/>
    </xf>
    <xf numFmtId="2" fontId="120" fillId="0" borderId="2" xfId="66" applyNumberFormat="1" applyFont="1" applyBorder="1" applyAlignment="1">
      <alignment horizontal="center" vertical="center" wrapText="1"/>
    </xf>
    <xf numFmtId="0" fontId="118" fillId="0" borderId="2" xfId="66" applyFont="1" applyBorder="1" applyAlignment="1">
      <alignment vertical="center" wrapText="1"/>
    </xf>
    <xf numFmtId="2" fontId="119" fillId="0" borderId="1" xfId="66" applyNumberFormat="1" applyFont="1" applyBorder="1" applyAlignment="1">
      <alignment horizontal="center" vertical="center" wrapText="1"/>
    </xf>
    <xf numFmtId="2" fontId="118" fillId="0" borderId="2" xfId="66" applyNumberFormat="1" applyFont="1" applyBorder="1" applyAlignment="1">
      <alignment horizontal="right" vertical="center" wrapText="1"/>
    </xf>
    <xf numFmtId="2" fontId="120" fillId="0" borderId="2" xfId="66" applyNumberFormat="1" applyFont="1" applyBorder="1" applyAlignment="1">
      <alignment horizontal="right" vertical="center" wrapText="1"/>
    </xf>
    <xf numFmtId="0" fontId="118" fillId="0" borderId="64" xfId="66" applyFont="1" applyBorder="1" applyAlignment="1">
      <alignment vertical="center" wrapText="1"/>
    </xf>
    <xf numFmtId="2" fontId="118" fillId="0" borderId="64" xfId="66" applyNumberFormat="1" applyFont="1" applyBorder="1" applyAlignment="1">
      <alignment horizontal="right" vertical="center" wrapText="1"/>
    </xf>
    <xf numFmtId="0" fontId="117" fillId="20" borderId="1" xfId="66" applyFont="1" applyFill="1" applyBorder="1" applyAlignment="1">
      <alignment horizontal="center" vertical="center" wrapText="1"/>
    </xf>
    <xf numFmtId="2" fontId="119" fillId="0" borderId="16" xfId="66" applyNumberFormat="1" applyFont="1" applyBorder="1" applyAlignment="1">
      <alignment horizontal="center" vertical="center" wrapText="1"/>
    </xf>
    <xf numFmtId="0" fontId="118" fillId="0" borderId="71" xfId="0" applyFont="1" applyBorder="1" applyAlignment="1">
      <alignment wrapText="1"/>
    </xf>
    <xf numFmtId="2" fontId="120" fillId="0" borderId="22" xfId="66" applyNumberFormat="1" applyFont="1" applyBorder="1" applyAlignment="1">
      <alignment horizontal="center" vertical="center" wrapText="1"/>
    </xf>
    <xf numFmtId="0" fontId="118" fillId="0" borderId="22" xfId="66" applyFont="1" applyBorder="1" applyAlignment="1">
      <alignment vertical="center" wrapText="1"/>
    </xf>
    <xf numFmtId="0" fontId="120" fillId="0" borderId="22" xfId="66" applyFont="1" applyBorder="1" applyAlignment="1">
      <alignment vertical="center" wrapText="1"/>
    </xf>
    <xf numFmtId="0" fontId="118" fillId="0" borderId="24" xfId="66" applyFont="1" applyBorder="1" applyAlignment="1">
      <alignment vertical="center" wrapText="1"/>
    </xf>
    <xf numFmtId="0" fontId="118" fillId="0" borderId="15" xfId="66" applyFont="1" applyBorder="1" applyAlignment="1">
      <alignment vertical="center" wrapText="1"/>
    </xf>
    <xf numFmtId="0" fontId="118" fillId="0" borderId="70" xfId="66" applyFont="1" applyBorder="1" applyAlignment="1">
      <alignment vertical="center" wrapText="1"/>
    </xf>
    <xf numFmtId="2" fontId="118" fillId="0" borderId="15" xfId="66" applyNumberFormat="1" applyFont="1" applyBorder="1" applyAlignment="1">
      <alignment horizontal="right" vertical="center" wrapText="1"/>
    </xf>
    <xf numFmtId="0" fontId="118" fillId="18" borderId="20" xfId="66" applyFont="1" applyFill="1" applyBorder="1" applyAlignment="1">
      <alignment vertical="center" wrapText="1"/>
    </xf>
    <xf numFmtId="0" fontId="118" fillId="18" borderId="5" xfId="66" applyFont="1" applyFill="1" applyBorder="1" applyAlignment="1">
      <alignment vertical="center" wrapText="1"/>
    </xf>
    <xf numFmtId="0" fontId="118" fillId="18" borderId="1" xfId="66" applyFont="1" applyFill="1" applyBorder="1" applyAlignment="1">
      <alignment vertical="center" wrapText="1"/>
    </xf>
    <xf numFmtId="0" fontId="118" fillId="18" borderId="2" xfId="66" applyFont="1" applyFill="1" applyBorder="1" applyAlignment="1">
      <alignment vertical="center" wrapText="1"/>
    </xf>
    <xf numFmtId="2" fontId="118" fillId="18" borderId="2" xfId="66" applyNumberFormat="1" applyFont="1" applyFill="1" applyBorder="1" applyAlignment="1">
      <alignment horizontal="right" vertical="center" wrapText="1"/>
    </xf>
    <xf numFmtId="0" fontId="118" fillId="18" borderId="22" xfId="66" applyFont="1" applyFill="1" applyBorder="1" applyAlignment="1">
      <alignment vertical="center" wrapText="1"/>
    </xf>
    <xf numFmtId="0" fontId="118" fillId="18" borderId="64" xfId="66" applyFont="1" applyFill="1" applyBorder="1" applyAlignment="1">
      <alignment vertical="center" wrapText="1"/>
    </xf>
    <xf numFmtId="2" fontId="118" fillId="18" borderId="64" xfId="66" applyNumberFormat="1" applyFont="1" applyFill="1" applyBorder="1" applyAlignment="1">
      <alignment horizontal="right" vertical="center" wrapText="1"/>
    </xf>
    <xf numFmtId="0" fontId="118" fillId="18" borderId="24" xfId="66" applyFont="1" applyFill="1" applyBorder="1" applyAlignment="1">
      <alignment vertical="center" wrapText="1"/>
    </xf>
    <xf numFmtId="0" fontId="118" fillId="18" borderId="16" xfId="66" applyFont="1" applyFill="1" applyBorder="1" applyAlignment="1">
      <alignment vertical="center" wrapText="1"/>
    </xf>
    <xf numFmtId="0" fontId="118" fillId="18" borderId="0" xfId="66" applyFont="1" applyFill="1" applyAlignment="1">
      <alignment horizontal="right" vertical="center" wrapText="1"/>
    </xf>
    <xf numFmtId="0" fontId="118" fillId="18" borderId="8" xfId="66" applyFont="1" applyFill="1" applyBorder="1" applyAlignment="1">
      <alignment horizontal="right" vertical="center" wrapText="1"/>
    </xf>
    <xf numFmtId="0" fontId="118" fillId="18" borderId="62" xfId="66" applyFont="1" applyFill="1" applyBorder="1" applyAlignment="1">
      <alignment horizontal="left" vertical="center" wrapText="1"/>
    </xf>
    <xf numFmtId="2" fontId="118" fillId="0" borderId="8" xfId="66" applyNumberFormat="1" applyFont="1" applyBorder="1" applyAlignment="1">
      <alignment horizontal="left" vertical="center" wrapText="1"/>
    </xf>
    <xf numFmtId="2" fontId="118" fillId="0" borderId="3" xfId="66" applyNumberFormat="1" applyFont="1" applyBorder="1" applyAlignment="1">
      <alignment horizontal="left" vertical="center" wrapText="1"/>
    </xf>
    <xf numFmtId="2" fontId="118" fillId="0" borderId="1" xfId="66" applyNumberFormat="1" applyFont="1" applyBorder="1" applyAlignment="1">
      <alignment horizontal="left" vertical="center" wrapText="1"/>
    </xf>
    <xf numFmtId="2" fontId="0" fillId="0" borderId="53" xfId="0" applyNumberFormat="1" applyBorder="1"/>
    <xf numFmtId="2" fontId="0" fillId="0" borderId="54" xfId="0" applyNumberFormat="1" applyBorder="1"/>
    <xf numFmtId="0" fontId="121" fillId="0" borderId="36" xfId="0" applyFont="1" applyBorder="1"/>
    <xf numFmtId="0" fontId="116" fillId="0" borderId="36" xfId="0" applyFont="1" applyBorder="1"/>
    <xf numFmtId="0" fontId="38" fillId="20" borderId="7" xfId="0" applyFont="1" applyFill="1" applyBorder="1"/>
    <xf numFmtId="0" fontId="38" fillId="20" borderId="46" xfId="0" applyFont="1" applyFill="1" applyBorder="1"/>
    <xf numFmtId="0" fontId="38" fillId="20" borderId="50" xfId="0" applyFont="1" applyFill="1" applyBorder="1"/>
    <xf numFmtId="0" fontId="0" fillId="0" borderId="66" xfId="0" applyBorder="1"/>
    <xf numFmtId="0" fontId="0" fillId="0" borderId="73" xfId="0" applyBorder="1"/>
    <xf numFmtId="0" fontId="122" fillId="0" borderId="73" xfId="66" applyFont="1" applyBorder="1" applyAlignment="1">
      <alignment vertical="center" wrapText="1"/>
    </xf>
    <xf numFmtId="0" fontId="122" fillId="0" borderId="73" xfId="66" applyFont="1" applyBorder="1" applyAlignment="1">
      <alignment horizontal="left" vertical="center" wrapText="1"/>
    </xf>
    <xf numFmtId="0" fontId="122" fillId="0" borderId="74" xfId="66" applyFont="1" applyBorder="1" applyAlignment="1">
      <alignment vertical="center" wrapText="1"/>
    </xf>
    <xf numFmtId="0" fontId="38" fillId="20" borderId="35" xfId="0" applyFont="1" applyFill="1" applyBorder="1"/>
    <xf numFmtId="0" fontId="0" fillId="0" borderId="52" xfId="0" applyBorder="1"/>
    <xf numFmtId="176" fontId="0" fillId="0" borderId="52" xfId="3" applyNumberFormat="1" applyFont="1" applyBorder="1"/>
    <xf numFmtId="176" fontId="0" fillId="0" borderId="68" xfId="3" applyNumberFormat="1" applyFont="1" applyBorder="1"/>
    <xf numFmtId="176" fontId="0" fillId="0" borderId="53" xfId="3" applyNumberFormat="1" applyFont="1" applyBorder="1"/>
    <xf numFmtId="176" fontId="0" fillId="0" borderId="75" xfId="3" applyNumberFormat="1" applyFont="1" applyBorder="1"/>
    <xf numFmtId="176" fontId="0" fillId="0" borderId="54" xfId="3" applyNumberFormat="1" applyFont="1" applyBorder="1"/>
    <xf numFmtId="176" fontId="0" fillId="0" borderId="76" xfId="3" applyNumberFormat="1" applyFont="1" applyBorder="1"/>
    <xf numFmtId="0" fontId="122" fillId="0" borderId="72" xfId="66" applyFont="1" applyBorder="1" applyAlignment="1">
      <alignment vertical="center" wrapText="1"/>
    </xf>
    <xf numFmtId="176" fontId="0" fillId="0" borderId="63" xfId="3" applyNumberFormat="1" applyFont="1" applyBorder="1"/>
    <xf numFmtId="176" fontId="0" fillId="0" borderId="77" xfId="3" applyNumberFormat="1" applyFont="1" applyBorder="1"/>
    <xf numFmtId="0" fontId="0" fillId="0" borderId="74" xfId="0" applyBorder="1"/>
    <xf numFmtId="43" fontId="115" fillId="19" borderId="75" xfId="3" applyFont="1" applyFill="1" applyBorder="1" applyProtection="1">
      <protection locked="0"/>
    </xf>
    <xf numFmtId="0" fontId="76" fillId="19" borderId="53" xfId="68" applyFont="1" applyBorder="1" applyAlignment="1" applyProtection="1">
      <alignment horizontal="center"/>
      <protection locked="0"/>
    </xf>
    <xf numFmtId="0" fontId="76" fillId="19" borderId="54" xfId="68" applyFont="1" applyBorder="1" applyAlignment="1" applyProtection="1">
      <alignment horizontal="center"/>
      <protection locked="0"/>
    </xf>
    <xf numFmtId="43" fontId="115" fillId="19" borderId="76" xfId="3" applyFont="1" applyFill="1" applyBorder="1" applyProtection="1">
      <protection locked="0"/>
    </xf>
    <xf numFmtId="0" fontId="76" fillId="19" borderId="63" xfId="68" applyFont="1" applyBorder="1" applyAlignment="1" applyProtection="1">
      <alignment horizontal="center"/>
      <protection locked="0"/>
    </xf>
    <xf numFmtId="43" fontId="115" fillId="19" borderId="77" xfId="3" applyFont="1" applyFill="1" applyBorder="1" applyProtection="1">
      <protection locked="0"/>
    </xf>
    <xf numFmtId="0" fontId="38" fillId="20" borderId="42" xfId="0" applyFont="1" applyFill="1" applyBorder="1"/>
    <xf numFmtId="43" fontId="115" fillId="9" borderId="77" xfId="3" applyFont="1" applyFill="1" applyBorder="1" applyProtection="1">
      <protection locked="0"/>
    </xf>
    <xf numFmtId="176" fontId="115" fillId="19" borderId="77" xfId="3" applyNumberFormat="1" applyFont="1" applyFill="1" applyBorder="1" applyProtection="1">
      <protection locked="0"/>
    </xf>
    <xf numFmtId="43" fontId="115" fillId="19" borderId="63" xfId="3" applyFont="1" applyFill="1" applyBorder="1" applyProtection="1">
      <protection locked="0"/>
    </xf>
    <xf numFmtId="43" fontId="115" fillId="19" borderId="48" xfId="3" applyFont="1" applyFill="1" applyBorder="1" applyProtection="1">
      <protection locked="0"/>
    </xf>
    <xf numFmtId="43" fontId="115" fillId="19" borderId="37" xfId="3" applyFont="1" applyFill="1" applyBorder="1" applyProtection="1">
      <protection locked="0"/>
    </xf>
    <xf numFmtId="44" fontId="38" fillId="17" borderId="7" xfId="29" applyFont="1" applyFill="1" applyBorder="1"/>
    <xf numFmtId="44" fontId="115" fillId="19" borderId="77" xfId="29" applyFont="1" applyFill="1" applyBorder="1" applyProtection="1">
      <protection locked="0"/>
    </xf>
    <xf numFmtId="44" fontId="115" fillId="19" borderId="37" xfId="29" applyFont="1" applyFill="1" applyBorder="1" applyProtection="1">
      <protection locked="0"/>
    </xf>
    <xf numFmtId="0" fontId="38" fillId="20" borderId="48" xfId="0" applyFont="1" applyFill="1" applyBorder="1"/>
    <xf numFmtId="2" fontId="0" fillId="0" borderId="75" xfId="0" applyNumberFormat="1" applyBorder="1"/>
    <xf numFmtId="0" fontId="0" fillId="0" borderId="36" xfId="0" applyBorder="1"/>
    <xf numFmtId="0" fontId="118" fillId="0" borderId="2" xfId="53" applyFont="1" applyBorder="1" applyAlignment="1">
      <alignment vertical="center" wrapText="1"/>
    </xf>
    <xf numFmtId="0" fontId="118" fillId="0" borderId="1" xfId="53" applyFont="1" applyBorder="1" applyAlignment="1">
      <alignment vertical="center"/>
    </xf>
    <xf numFmtId="0" fontId="118" fillId="0" borderId="23" xfId="53" applyFont="1" applyBorder="1" applyAlignment="1">
      <alignment vertical="center"/>
    </xf>
    <xf numFmtId="0" fontId="118" fillId="0" borderId="65" xfId="53" applyFont="1" applyBorder="1" applyAlignment="1">
      <alignment vertical="center" wrapText="1"/>
    </xf>
    <xf numFmtId="2" fontId="118" fillId="0" borderId="65" xfId="53" applyNumberFormat="1" applyFont="1" applyBorder="1" applyAlignment="1">
      <alignment horizontal="left" vertical="center" wrapText="1"/>
    </xf>
    <xf numFmtId="0" fontId="118" fillId="0" borderId="20" xfId="53" applyFont="1" applyBorder="1" applyAlignment="1">
      <alignment vertical="center"/>
    </xf>
    <xf numFmtId="0" fontId="118" fillId="0" borderId="2" xfId="53" applyFont="1" applyBorder="1" applyAlignment="1">
      <alignment horizontal="left" vertical="center" wrapText="1"/>
    </xf>
    <xf numFmtId="0" fontId="118" fillId="0" borderId="22" xfId="53" applyFont="1" applyBorder="1" applyAlignment="1">
      <alignment vertical="center" wrapText="1"/>
    </xf>
    <xf numFmtId="2" fontId="118" fillId="0" borderId="23" xfId="66" applyNumberFormat="1" applyFont="1" applyBorder="1" applyAlignment="1">
      <alignment horizontal="left" vertical="center" wrapText="1"/>
    </xf>
    <xf numFmtId="2" fontId="118" fillId="0" borderId="20" xfId="66" applyNumberFormat="1" applyFont="1" applyBorder="1" applyAlignment="1">
      <alignment horizontal="left" vertical="center" wrapText="1"/>
    </xf>
    <xf numFmtId="2" fontId="118" fillId="0" borderId="5" xfId="66" applyNumberFormat="1" applyFont="1" applyBorder="1" applyAlignment="1">
      <alignment horizontal="left" vertical="center" wrapText="1"/>
    </xf>
    <xf numFmtId="2" fontId="118" fillId="18" borderId="20" xfId="66" applyNumberFormat="1" applyFont="1" applyFill="1" applyBorder="1" applyAlignment="1">
      <alignment horizontal="left" vertical="center" wrapText="1"/>
    </xf>
    <xf numFmtId="2" fontId="118" fillId="18" borderId="23" xfId="66" applyNumberFormat="1" applyFont="1" applyFill="1" applyBorder="1" applyAlignment="1">
      <alignment horizontal="left" vertical="center" wrapText="1"/>
    </xf>
    <xf numFmtId="0" fontId="118" fillId="18" borderId="20" xfId="53" applyFont="1" applyFill="1" applyBorder="1" applyAlignment="1">
      <alignment horizontal="center" vertical="center" wrapText="1"/>
    </xf>
    <xf numFmtId="0" fontId="118" fillId="0" borderId="20" xfId="53" applyFont="1" applyBorder="1" applyAlignment="1">
      <alignment horizontal="center" vertical="center" wrapText="1"/>
    </xf>
    <xf numFmtId="0" fontId="118" fillId="0" borderId="21" xfId="53" applyFont="1" applyBorder="1" applyAlignment="1">
      <alignment vertical="center" wrapText="1"/>
    </xf>
    <xf numFmtId="0" fontId="118" fillId="0" borderId="64" xfId="53" applyFont="1" applyBorder="1" applyAlignment="1">
      <alignment vertical="center" wrapText="1"/>
    </xf>
    <xf numFmtId="0" fontId="118" fillId="0" borderId="64" xfId="53" applyFont="1" applyBorder="1" applyAlignment="1">
      <alignment horizontal="left" vertical="center" wrapText="1"/>
    </xf>
    <xf numFmtId="0" fontId="118" fillId="0" borderId="24" xfId="53" applyFont="1" applyBorder="1" applyAlignment="1">
      <alignment vertical="center" wrapText="1"/>
    </xf>
    <xf numFmtId="2" fontId="0" fillId="0" borderId="68" xfId="0" applyNumberFormat="1" applyBorder="1"/>
    <xf numFmtId="2" fontId="0" fillId="0" borderId="67" xfId="0" applyNumberFormat="1" applyBorder="1"/>
    <xf numFmtId="2" fontId="0" fillId="0" borderId="3" xfId="0" applyNumberFormat="1" applyBorder="1"/>
    <xf numFmtId="2" fontId="0" fillId="0" borderId="47" xfId="0" applyNumberFormat="1" applyBorder="1"/>
    <xf numFmtId="2" fontId="0" fillId="0" borderId="50" xfId="0" applyNumberFormat="1" applyBorder="1"/>
    <xf numFmtId="2" fontId="0" fillId="0" borderId="38" xfId="0" applyNumberFormat="1" applyBorder="1"/>
    <xf numFmtId="2" fontId="0" fillId="0" borderId="51" xfId="0" applyNumberFormat="1" applyBorder="1"/>
    <xf numFmtId="2" fontId="0" fillId="9" borderId="53" xfId="0" applyNumberFormat="1" applyFill="1" applyBorder="1"/>
    <xf numFmtId="2" fontId="0" fillId="9" borderId="54" xfId="0" applyNumberFormat="1" applyFill="1" applyBorder="1"/>
    <xf numFmtId="0" fontId="0" fillId="0" borderId="48" xfId="0" applyBorder="1"/>
    <xf numFmtId="0" fontId="118" fillId="0" borderId="72" xfId="66" applyFont="1" applyBorder="1" applyAlignment="1">
      <alignment vertical="center" wrapText="1"/>
    </xf>
    <xf numFmtId="0" fontId="118" fillId="0" borderId="73" xfId="66" applyFont="1" applyBorder="1" applyAlignment="1">
      <alignment vertical="center" wrapText="1"/>
    </xf>
    <xf numFmtId="0" fontId="118" fillId="0" borderId="70" xfId="66" applyFont="1" applyBorder="1" applyAlignment="1">
      <alignment horizontal="left" vertical="center" wrapText="1"/>
    </xf>
    <xf numFmtId="0" fontId="118" fillId="0" borderId="74" xfId="66" applyFont="1" applyBorder="1" applyAlignment="1">
      <alignment vertical="center" wrapText="1"/>
    </xf>
    <xf numFmtId="2" fontId="0" fillId="6" borderId="53" xfId="0" applyNumberFormat="1" applyFill="1" applyBorder="1"/>
    <xf numFmtId="2" fontId="0" fillId="6" borderId="54" xfId="0" applyNumberFormat="1" applyFill="1" applyBorder="1"/>
    <xf numFmtId="2" fontId="0" fillId="6" borderId="68" xfId="0" applyNumberFormat="1" applyFill="1" applyBorder="1"/>
    <xf numFmtId="2" fontId="0" fillId="6" borderId="75" xfId="0" applyNumberFormat="1" applyFill="1" applyBorder="1"/>
    <xf numFmtId="2" fontId="0" fillId="6" borderId="76" xfId="0" applyNumberFormat="1" applyFill="1" applyBorder="1"/>
    <xf numFmtId="0" fontId="123" fillId="0" borderId="1" xfId="66" applyFont="1" applyBorder="1" applyAlignment="1">
      <alignment vertical="center" wrapText="1"/>
    </xf>
    <xf numFmtId="2" fontId="123" fillId="0" borderId="1" xfId="66" applyNumberFormat="1" applyFont="1" applyBorder="1" applyAlignment="1">
      <alignment horizontal="right" vertical="center" wrapText="1"/>
    </xf>
    <xf numFmtId="0" fontId="123" fillId="0" borderId="1" xfId="66" applyFont="1" applyBorder="1" applyAlignment="1">
      <alignment horizontal="left" vertical="center" wrapText="1"/>
    </xf>
    <xf numFmtId="0" fontId="121" fillId="9" borderId="36" xfId="0" applyFont="1" applyFill="1" applyBorder="1"/>
    <xf numFmtId="2" fontId="0" fillId="0" borderId="52" xfId="0" applyNumberFormat="1" applyBorder="1"/>
    <xf numFmtId="2" fontId="0" fillId="0" borderId="59" xfId="0" applyNumberFormat="1" applyBorder="1"/>
    <xf numFmtId="2" fontId="0" fillId="0" borderId="73" xfId="0" applyNumberFormat="1" applyBorder="1"/>
    <xf numFmtId="2" fontId="0" fillId="6" borderId="77" xfId="0" applyNumberFormat="1" applyFill="1" applyBorder="1"/>
    <xf numFmtId="2" fontId="0" fillId="6" borderId="72" xfId="0" applyNumberFormat="1" applyFill="1" applyBorder="1"/>
    <xf numFmtId="2" fontId="0" fillId="6" borderId="73" xfId="0" applyNumberFormat="1" applyFill="1" applyBorder="1"/>
    <xf numFmtId="2" fontId="0" fillId="6" borderId="62" xfId="0" applyNumberFormat="1" applyFill="1" applyBorder="1"/>
    <xf numFmtId="44" fontId="0" fillId="6" borderId="77" xfId="29" applyFont="1" applyFill="1" applyBorder="1"/>
    <xf numFmtId="44" fontId="0" fillId="6" borderId="75" xfId="29" applyFont="1" applyFill="1" applyBorder="1"/>
    <xf numFmtId="44" fontId="0" fillId="6" borderId="76" xfId="29" applyFont="1" applyFill="1" applyBorder="1"/>
    <xf numFmtId="44" fontId="0" fillId="6" borderId="68" xfId="29" applyFont="1" applyFill="1" applyBorder="1"/>
    <xf numFmtId="0" fontId="38" fillId="17" borderId="46" xfId="0" applyFont="1" applyFill="1" applyBorder="1"/>
    <xf numFmtId="0" fontId="0" fillId="0" borderId="46" xfId="0" applyBorder="1"/>
    <xf numFmtId="0" fontId="0" fillId="0" borderId="47" xfId="0" applyBorder="1"/>
    <xf numFmtId="0" fontId="123" fillId="0" borderId="80" xfId="66" applyFont="1" applyBorder="1" applyAlignment="1">
      <alignment vertical="center" wrapText="1"/>
    </xf>
    <xf numFmtId="2" fontId="123" fillId="0" borderId="4" xfId="66" applyNumberFormat="1" applyFont="1" applyBorder="1" applyAlignment="1">
      <alignment horizontal="right" vertical="center" wrapText="1"/>
    </xf>
    <xf numFmtId="0" fontId="123" fillId="0" borderId="1" xfId="66" applyFont="1" applyBorder="1" applyAlignment="1">
      <alignment horizontal="left" vertical="center"/>
    </xf>
    <xf numFmtId="0" fontId="118" fillId="0" borderId="1" xfId="0" applyFont="1" applyBorder="1" applyAlignment="1">
      <alignment vertical="center" wrapText="1"/>
    </xf>
    <xf numFmtId="0" fontId="118" fillId="0" borderId="1" xfId="66" applyFont="1" applyBorder="1" applyAlignment="1">
      <alignment horizontal="center" vertical="center" wrapText="1"/>
    </xf>
    <xf numFmtId="0" fontId="118" fillId="0" borderId="1" xfId="66" applyFont="1" applyBorder="1" applyAlignment="1">
      <alignment vertical="center" wrapText="1"/>
    </xf>
    <xf numFmtId="0" fontId="118" fillId="0" borderId="1" xfId="53" applyFont="1" applyBorder="1" applyAlignment="1">
      <alignment vertical="center" wrapText="1"/>
    </xf>
    <xf numFmtId="0" fontId="118" fillId="0" borderId="5" xfId="0" applyFont="1" applyBorder="1" applyAlignment="1">
      <alignment vertical="center" wrapText="1"/>
    </xf>
    <xf numFmtId="2" fontId="0" fillId="0" borderId="14" xfId="0" applyNumberFormat="1" applyBorder="1"/>
    <xf numFmtId="2" fontId="0" fillId="6" borderId="52" xfId="0" applyNumberFormat="1" applyFill="1" applyBorder="1"/>
    <xf numFmtId="0" fontId="0" fillId="18" borderId="63" xfId="0" applyFill="1" applyBorder="1"/>
    <xf numFmtId="0" fontId="0" fillId="18" borderId="53" xfId="0" applyFill="1" applyBorder="1"/>
    <xf numFmtId="0" fontId="0" fillId="18" borderId="78" xfId="0" applyFill="1" applyBorder="1"/>
    <xf numFmtId="0" fontId="0" fillId="18" borderId="52" xfId="0" applyFill="1" applyBorder="1"/>
    <xf numFmtId="0" fontId="0" fillId="18" borderId="54" xfId="0" applyFill="1" applyBorder="1"/>
    <xf numFmtId="2" fontId="0" fillId="18" borderId="77" xfId="0" applyNumberFormat="1" applyFill="1" applyBorder="1"/>
    <xf numFmtId="2" fontId="0" fillId="18" borderId="63" xfId="0" applyNumberFormat="1" applyFill="1" applyBorder="1"/>
    <xf numFmtId="2" fontId="0" fillId="18" borderId="72" xfId="0" applyNumberFormat="1" applyFill="1" applyBorder="1"/>
    <xf numFmtId="2" fontId="0" fillId="18" borderId="46" xfId="0" applyNumberFormat="1" applyFill="1" applyBorder="1"/>
    <xf numFmtId="2" fontId="0" fillId="18" borderId="59" xfId="0" applyNumberFormat="1" applyFill="1" applyBorder="1"/>
    <xf numFmtId="2" fontId="0" fillId="18" borderId="75" xfId="0" applyNumberFormat="1" applyFill="1" applyBorder="1"/>
    <xf numFmtId="2" fontId="0" fillId="18" borderId="53" xfId="0" applyNumberFormat="1" applyFill="1" applyBorder="1"/>
    <xf numFmtId="2" fontId="0" fillId="18" borderId="73" xfId="0" applyNumberFormat="1" applyFill="1" applyBorder="1"/>
    <xf numFmtId="2" fontId="0" fillId="18" borderId="47" xfId="0" applyNumberFormat="1" applyFill="1" applyBorder="1"/>
    <xf numFmtId="2" fontId="0" fillId="18" borderId="76" xfId="0" applyNumberFormat="1" applyFill="1" applyBorder="1"/>
    <xf numFmtId="2" fontId="0" fillId="18" borderId="54" xfId="0" applyNumberFormat="1" applyFill="1" applyBorder="1"/>
    <xf numFmtId="2" fontId="0" fillId="18" borderId="3" xfId="0" applyNumberFormat="1" applyFill="1" applyBorder="1"/>
    <xf numFmtId="2" fontId="0" fillId="18" borderId="38" xfId="0" applyNumberFormat="1" applyFill="1" applyBorder="1"/>
    <xf numFmtId="2" fontId="0" fillId="18" borderId="66" xfId="0" applyNumberFormat="1" applyFill="1" applyBorder="1"/>
    <xf numFmtId="2" fontId="0" fillId="18" borderId="34" xfId="0" applyNumberFormat="1" applyFill="1" applyBorder="1"/>
    <xf numFmtId="2" fontId="0" fillId="18" borderId="50" xfId="0" applyNumberFormat="1" applyFill="1" applyBorder="1"/>
    <xf numFmtId="2" fontId="0" fillId="18" borderId="52" xfId="0" applyNumberFormat="1" applyFill="1" applyBorder="1"/>
    <xf numFmtId="2" fontId="0" fillId="18" borderId="68" xfId="0" applyNumberFormat="1" applyFill="1" applyBorder="1"/>
    <xf numFmtId="2" fontId="0" fillId="18" borderId="0" xfId="0" applyNumberFormat="1" applyFill="1"/>
    <xf numFmtId="2" fontId="0" fillId="18" borderId="74" xfId="0" applyNumberFormat="1" applyFill="1" applyBorder="1"/>
    <xf numFmtId="2" fontId="0" fillId="18" borderId="36" xfId="0" applyNumberFormat="1" applyFill="1" applyBorder="1"/>
    <xf numFmtId="2" fontId="0" fillId="18" borderId="51" xfId="0" applyNumberFormat="1" applyFill="1" applyBorder="1"/>
    <xf numFmtId="164" fontId="0" fillId="0" borderId="48" xfId="29" applyNumberFormat="1" applyFont="1" applyBorder="1"/>
    <xf numFmtId="44" fontId="0" fillId="0" borderId="52" xfId="29" applyFont="1" applyBorder="1"/>
    <xf numFmtId="176" fontId="0" fillId="6" borderId="77" xfId="3" applyNumberFormat="1" applyFont="1" applyFill="1" applyBorder="1"/>
    <xf numFmtId="176" fontId="0" fillId="6" borderId="75" xfId="3" applyNumberFormat="1" applyFont="1" applyFill="1" applyBorder="1"/>
    <xf numFmtId="176" fontId="0" fillId="6" borderId="76" xfId="3" applyNumberFormat="1" applyFont="1" applyFill="1" applyBorder="1"/>
    <xf numFmtId="176" fontId="0" fillId="6" borderId="68" xfId="3" applyNumberFormat="1" applyFont="1" applyFill="1" applyBorder="1"/>
    <xf numFmtId="0" fontId="38" fillId="20" borderId="38" xfId="0" applyFont="1" applyFill="1" applyBorder="1"/>
    <xf numFmtId="176" fontId="115" fillId="19" borderId="63" xfId="3" applyNumberFormat="1" applyFont="1" applyFill="1" applyBorder="1" applyProtection="1">
      <protection locked="0"/>
    </xf>
    <xf numFmtId="176" fontId="76" fillId="9" borderId="68" xfId="3" applyNumberFormat="1" applyFont="1" applyFill="1" applyBorder="1"/>
    <xf numFmtId="2" fontId="0" fillId="18" borderId="37" xfId="0" applyNumberFormat="1" applyFill="1" applyBorder="1"/>
    <xf numFmtId="2" fontId="0" fillId="9" borderId="52" xfId="0" applyNumberFormat="1" applyFill="1" applyBorder="1"/>
    <xf numFmtId="2" fontId="118" fillId="0" borderId="1" xfId="53" applyNumberFormat="1" applyFont="1" applyBorder="1" applyAlignment="1">
      <alignment horizontal="center" vertical="center" wrapText="1"/>
    </xf>
    <xf numFmtId="2" fontId="118" fillId="18" borderId="9" xfId="66" applyNumberFormat="1" applyFont="1" applyFill="1" applyBorder="1" applyAlignment="1">
      <alignment horizontal="left" vertical="center" wrapText="1"/>
    </xf>
    <xf numFmtId="2" fontId="118" fillId="0" borderId="20" xfId="53" applyNumberFormat="1" applyFont="1" applyBorder="1" applyAlignment="1">
      <alignment horizontal="center" vertical="center" wrapText="1"/>
    </xf>
    <xf numFmtId="2" fontId="118" fillId="0" borderId="23" xfId="53" applyNumberFormat="1" applyFont="1" applyBorder="1" applyAlignment="1">
      <alignment horizontal="center" vertical="center" wrapText="1"/>
    </xf>
    <xf numFmtId="0" fontId="118" fillId="0" borderId="5" xfId="53" applyFont="1" applyBorder="1" applyAlignment="1">
      <alignment horizontal="center" vertical="center" wrapText="1"/>
    </xf>
    <xf numFmtId="2" fontId="118" fillId="0" borderId="5" xfId="53" applyNumberFormat="1" applyFont="1" applyBorder="1" applyAlignment="1">
      <alignment horizontal="center" vertical="center" wrapText="1"/>
    </xf>
    <xf numFmtId="2" fontId="118" fillId="18" borderId="1" xfId="53" applyNumberFormat="1" applyFont="1" applyFill="1" applyBorder="1" applyAlignment="1">
      <alignment horizontal="center" vertical="center" wrapText="1"/>
    </xf>
    <xf numFmtId="2" fontId="118" fillId="18" borderId="1" xfId="66" applyNumberFormat="1" applyFont="1" applyFill="1" applyBorder="1" applyAlignment="1">
      <alignment horizontal="left" vertical="center" wrapText="1"/>
    </xf>
    <xf numFmtId="2" fontId="118" fillId="18" borderId="20" xfId="53" applyNumberFormat="1" applyFont="1" applyFill="1" applyBorder="1" applyAlignment="1">
      <alignment horizontal="center" vertical="center" wrapText="1"/>
    </xf>
    <xf numFmtId="2" fontId="118" fillId="18" borderId="23" xfId="53" applyNumberFormat="1" applyFont="1" applyFill="1" applyBorder="1" applyAlignment="1">
      <alignment horizontal="center" vertical="center" wrapText="1"/>
    </xf>
    <xf numFmtId="0" fontId="118" fillId="18" borderId="5" xfId="53" applyFont="1" applyFill="1" applyBorder="1" applyAlignment="1">
      <alignment horizontal="center" vertical="center" wrapText="1"/>
    </xf>
    <xf numFmtId="2" fontId="118" fillId="18" borderId="5" xfId="53" applyNumberFormat="1" applyFont="1" applyFill="1" applyBorder="1" applyAlignment="1">
      <alignment horizontal="center" vertical="center" wrapText="1"/>
    </xf>
    <xf numFmtId="2" fontId="118" fillId="18" borderId="5" xfId="66" applyNumberFormat="1" applyFont="1" applyFill="1" applyBorder="1" applyAlignment="1">
      <alignment horizontal="left" vertical="center" wrapText="1"/>
    </xf>
    <xf numFmtId="2" fontId="118" fillId="18" borderId="9" xfId="53" applyNumberFormat="1" applyFont="1" applyFill="1" applyBorder="1" applyAlignment="1">
      <alignment horizontal="center" vertical="center" wrapText="1"/>
    </xf>
    <xf numFmtId="2" fontId="0" fillId="0" borderId="35" xfId="0" applyNumberFormat="1" applyBorder="1"/>
    <xf numFmtId="2" fontId="0" fillId="18" borderId="62" xfId="0" applyNumberFormat="1" applyFill="1" applyBorder="1"/>
    <xf numFmtId="2" fontId="0" fillId="9" borderId="50" xfId="0" applyNumberFormat="1" applyFill="1" applyBorder="1"/>
    <xf numFmtId="2" fontId="0" fillId="9" borderId="38" xfId="0" applyNumberFormat="1" applyFill="1" applyBorder="1"/>
    <xf numFmtId="2" fontId="0" fillId="9" borderId="51" xfId="0" applyNumberFormat="1" applyFill="1" applyBorder="1"/>
    <xf numFmtId="0" fontId="0" fillId="9" borderId="0" xfId="0" applyFill="1"/>
    <xf numFmtId="0" fontId="0" fillId="21" borderId="0" xfId="0" applyFill="1"/>
    <xf numFmtId="44" fontId="115" fillId="19" borderId="63" xfId="29" applyFont="1" applyFill="1" applyBorder="1" applyProtection="1">
      <protection locked="0"/>
    </xf>
    <xf numFmtId="44" fontId="115" fillId="19" borderId="48" xfId="29" applyFont="1" applyFill="1" applyBorder="1" applyProtection="1">
      <protection locked="0"/>
    </xf>
    <xf numFmtId="0" fontId="38" fillId="20" borderId="59" xfId="0" applyFont="1" applyFill="1" applyBorder="1"/>
    <xf numFmtId="176" fontId="115" fillId="19" borderId="48" xfId="3" applyNumberFormat="1" applyFont="1" applyFill="1" applyBorder="1" applyProtection="1">
      <protection locked="0"/>
    </xf>
    <xf numFmtId="0" fontId="125" fillId="0" borderId="0" xfId="0" applyFont="1"/>
    <xf numFmtId="0" fontId="38" fillId="20" borderId="51" xfId="0" applyFont="1" applyFill="1" applyBorder="1"/>
    <xf numFmtId="0" fontId="38" fillId="20" borderId="36" xfId="0" applyFont="1" applyFill="1" applyBorder="1"/>
    <xf numFmtId="176" fontId="115" fillId="19" borderId="37" xfId="3" applyNumberFormat="1" applyFont="1" applyFill="1" applyBorder="1" applyProtection="1">
      <protection locked="0"/>
    </xf>
    <xf numFmtId="43" fontId="115" fillId="19" borderId="52" xfId="3" applyFont="1" applyFill="1" applyBorder="1" applyProtection="1">
      <protection locked="0"/>
    </xf>
    <xf numFmtId="43" fontId="115" fillId="19" borderId="68" xfId="3" applyFont="1" applyFill="1" applyBorder="1" applyProtection="1">
      <protection locked="0"/>
    </xf>
    <xf numFmtId="43" fontId="115" fillId="19" borderId="53" xfId="3" applyFont="1" applyFill="1" applyBorder="1" applyProtection="1">
      <protection locked="0"/>
    </xf>
    <xf numFmtId="43" fontId="115" fillId="19" borderId="54" xfId="3" applyFont="1" applyFill="1" applyBorder="1" applyProtection="1">
      <protection locked="0"/>
    </xf>
    <xf numFmtId="0" fontId="38" fillId="20" borderId="43" xfId="0" applyFont="1" applyFill="1" applyBorder="1"/>
    <xf numFmtId="9" fontId="0" fillId="0" borderId="63" xfId="57" applyFont="1" applyBorder="1"/>
    <xf numFmtId="9" fontId="0" fillId="0" borderId="54" xfId="57" applyFont="1" applyBorder="1"/>
    <xf numFmtId="0" fontId="118" fillId="0" borderId="82" xfId="54" applyFont="1" applyBorder="1" applyAlignment="1">
      <alignment horizontal="left" vertical="center" wrapText="1"/>
    </xf>
    <xf numFmtId="0" fontId="118" fillId="0" borderId="82" xfId="54" applyFont="1" applyBorder="1" applyAlignment="1">
      <alignment horizontal="center" vertical="center" wrapText="1"/>
    </xf>
    <xf numFmtId="166" fontId="118" fillId="0" borderId="82" xfId="69" applyNumberFormat="1" applyFont="1" applyBorder="1" applyAlignment="1">
      <alignment horizontal="center" vertical="center"/>
    </xf>
    <xf numFmtId="166" fontId="118" fillId="0" borderId="82" xfId="69" applyNumberFormat="1" applyFont="1" applyBorder="1" applyAlignment="1">
      <alignment horizontal="center" vertical="center" wrapText="1"/>
    </xf>
    <xf numFmtId="166" fontId="118" fillId="0" borderId="82" xfId="69" applyNumberFormat="1" applyFont="1" applyBorder="1" applyAlignment="1">
      <alignment horizontal="left" vertical="center" wrapText="1"/>
    </xf>
    <xf numFmtId="0" fontId="118" fillId="0" borderId="82" xfId="69" applyFont="1" applyBorder="1" applyAlignment="1">
      <alignment horizontal="center" vertical="center"/>
    </xf>
    <xf numFmtId="2" fontId="118" fillId="0" borderId="82" xfId="54" applyNumberFormat="1" applyFont="1" applyBorder="1" applyAlignment="1">
      <alignment horizontal="center" vertical="center"/>
    </xf>
    <xf numFmtId="2" fontId="118" fillId="0" borderId="82" xfId="54" applyNumberFormat="1" applyFont="1" applyBorder="1" applyAlignment="1">
      <alignment horizontal="left" vertical="center" wrapText="1"/>
    </xf>
    <xf numFmtId="2" fontId="118" fillId="0" borderId="82" xfId="54" applyNumberFormat="1" applyFont="1" applyBorder="1" applyAlignment="1">
      <alignment horizontal="center" vertical="center" wrapText="1"/>
    </xf>
    <xf numFmtId="0" fontId="118" fillId="0" borderId="86" xfId="54" applyFont="1" applyBorder="1" applyAlignment="1">
      <alignment horizontal="center" vertical="center"/>
    </xf>
    <xf numFmtId="0" fontId="118" fillId="0" borderId="86" xfId="54" applyFont="1" applyBorder="1" applyAlignment="1">
      <alignment horizontal="left" vertical="center" wrapText="1"/>
    </xf>
    <xf numFmtId="0" fontId="117" fillId="20" borderId="91" xfId="54" applyFont="1" applyFill="1" applyBorder="1" applyAlignment="1">
      <alignment horizontal="center" vertical="center" wrapText="1"/>
    </xf>
    <xf numFmtId="0" fontId="118" fillId="0" borderId="93" xfId="67" applyFont="1" applyBorder="1" applyAlignment="1">
      <alignment vertical="center"/>
    </xf>
    <xf numFmtId="0" fontId="118" fillId="0" borderId="94" xfId="54" applyFont="1" applyBorder="1" applyAlignment="1">
      <alignment vertical="center"/>
    </xf>
    <xf numFmtId="0" fontId="118" fillId="0" borderId="95" xfId="67" applyFont="1" applyBorder="1" applyAlignment="1">
      <alignment vertical="center" wrapText="1"/>
    </xf>
    <xf numFmtId="0" fontId="118" fillId="0" borderId="96" xfId="54" applyFont="1" applyBorder="1" applyAlignment="1">
      <alignment vertical="center"/>
    </xf>
    <xf numFmtId="0" fontId="118" fillId="0" borderId="96" xfId="67" applyFont="1" applyBorder="1" applyAlignment="1">
      <alignment vertical="center" wrapText="1"/>
    </xf>
    <xf numFmtId="0" fontId="118" fillId="0" borderId="95" xfId="66" applyFont="1" applyBorder="1" applyAlignment="1">
      <alignment vertical="center" wrapText="1"/>
    </xf>
    <xf numFmtId="0" fontId="118" fillId="0" borderId="96" xfId="54" applyFont="1" applyBorder="1" applyAlignment="1">
      <alignment vertical="center" wrapText="1"/>
    </xf>
    <xf numFmtId="0" fontId="118" fillId="0" borderId="95" xfId="54" applyFont="1" applyBorder="1" applyAlignment="1">
      <alignment vertical="center" wrapText="1"/>
    </xf>
    <xf numFmtId="0" fontId="106" fillId="0" borderId="82" xfId="66" applyFont="1" applyBorder="1" applyAlignment="1">
      <alignment horizontal="center" vertical="center" wrapText="1"/>
    </xf>
    <xf numFmtId="178" fontId="106" fillId="0" borderId="82" xfId="66" applyNumberFormat="1" applyFont="1" applyBorder="1" applyAlignment="1">
      <alignment horizontal="center" vertical="center" wrapText="1"/>
    </xf>
    <xf numFmtId="178" fontId="118" fillId="0" borderId="82" xfId="66" applyNumberFormat="1" applyFont="1" applyBorder="1" applyAlignment="1">
      <alignment horizontal="center" vertical="center" wrapText="1"/>
    </xf>
    <xf numFmtId="178" fontId="128" fillId="0" borderId="82" xfId="66" applyNumberFormat="1" applyFont="1" applyBorder="1" applyAlignment="1">
      <alignment horizontal="center" vertical="center" wrapText="1"/>
    </xf>
    <xf numFmtId="167" fontId="118" fillId="0" borderId="82" xfId="67" applyNumberFormat="1" applyFont="1" applyBorder="1" applyAlignment="1">
      <alignment horizontal="center" vertical="center" wrapText="1"/>
    </xf>
    <xf numFmtId="178" fontId="118" fillId="0" borderId="82" xfId="67" applyNumberFormat="1" applyFont="1" applyBorder="1" applyAlignment="1">
      <alignment horizontal="center" vertical="center" wrapText="1"/>
    </xf>
    <xf numFmtId="178" fontId="118" fillId="0" borderId="82" xfId="67" applyNumberFormat="1" applyFont="1" applyBorder="1" applyAlignment="1">
      <alignment horizontal="center" vertical="center"/>
    </xf>
    <xf numFmtId="179" fontId="106" fillId="0" borderId="82" xfId="66" applyNumberFormat="1" applyFont="1" applyBorder="1" applyAlignment="1">
      <alignment horizontal="center" vertical="center" wrapText="1"/>
    </xf>
    <xf numFmtId="179" fontId="118" fillId="0" borderId="82" xfId="66" applyNumberFormat="1" applyFont="1" applyBorder="1" applyAlignment="1">
      <alignment horizontal="center" vertical="center" wrapText="1"/>
    </xf>
    <xf numFmtId="167" fontId="118" fillId="0" borderId="82" xfId="66" applyNumberFormat="1" applyFont="1" applyBorder="1" applyAlignment="1">
      <alignment horizontal="center" vertical="center" wrapText="1"/>
    </xf>
    <xf numFmtId="0" fontId="127" fillId="20" borderId="82" xfId="66" applyFont="1" applyFill="1" applyBorder="1" applyAlignment="1">
      <alignment horizontal="center" vertical="center" wrapText="1"/>
    </xf>
    <xf numFmtId="0" fontId="127" fillId="20" borderId="82" xfId="67" applyFont="1" applyFill="1" applyBorder="1" applyAlignment="1">
      <alignment horizontal="center" vertical="center" wrapText="1"/>
    </xf>
    <xf numFmtId="180" fontId="118" fillId="0" borderId="82" xfId="67" applyNumberFormat="1" applyFont="1" applyBorder="1" applyAlignment="1">
      <alignment horizontal="center" vertical="center"/>
    </xf>
    <xf numFmtId="178" fontId="118" fillId="0" borderId="95" xfId="67" applyNumberFormat="1" applyFont="1" applyBorder="1" applyAlignment="1">
      <alignment horizontal="center" vertical="center"/>
    </xf>
    <xf numFmtId="180" fontId="118" fillId="0" borderId="96" xfId="67" applyNumberFormat="1" applyFont="1" applyBorder="1" applyAlignment="1">
      <alignment horizontal="center" vertical="center"/>
    </xf>
    <xf numFmtId="178" fontId="118" fillId="0" borderId="90" xfId="67" applyNumberFormat="1" applyFont="1" applyBorder="1" applyAlignment="1">
      <alignment horizontal="center" vertical="center"/>
    </xf>
    <xf numFmtId="180" fontId="118" fillId="0" borderId="91" xfId="67" applyNumberFormat="1" applyFont="1" applyBorder="1" applyAlignment="1">
      <alignment horizontal="center" vertical="center"/>
    </xf>
    <xf numFmtId="180" fontId="118" fillId="0" borderId="92" xfId="67" applyNumberFormat="1" applyFont="1" applyBorder="1" applyAlignment="1">
      <alignment horizontal="center" vertical="center"/>
    </xf>
    <xf numFmtId="178" fontId="118" fillId="0" borderId="93" xfId="67" applyNumberFormat="1" applyFont="1" applyBorder="1" applyAlignment="1">
      <alignment horizontal="center" vertical="center"/>
    </xf>
    <xf numFmtId="180" fontId="118" fillId="0" borderId="86" xfId="67" applyNumberFormat="1" applyFont="1" applyBorder="1" applyAlignment="1">
      <alignment horizontal="center" vertical="center"/>
    </xf>
    <xf numFmtId="180" fontId="118" fillId="0" borderId="94" xfId="67" applyNumberFormat="1" applyFont="1" applyBorder="1" applyAlignment="1">
      <alignment horizontal="center" vertical="center"/>
    </xf>
    <xf numFmtId="0" fontId="127" fillId="20" borderId="90" xfId="67" applyFont="1" applyFill="1" applyBorder="1" applyAlignment="1">
      <alignment horizontal="center" vertical="center"/>
    </xf>
    <xf numFmtId="0" fontId="127" fillId="20" borderId="91" xfId="67" applyFont="1" applyFill="1" applyBorder="1" applyAlignment="1">
      <alignment horizontal="center" vertical="center"/>
    </xf>
    <xf numFmtId="0" fontId="127" fillId="20" borderId="92" xfId="67" applyFont="1" applyFill="1" applyBorder="1" applyAlignment="1">
      <alignment horizontal="center" vertical="center"/>
    </xf>
    <xf numFmtId="2" fontId="76" fillId="0" borderId="1" xfId="0" applyNumberFormat="1" applyFont="1" applyBorder="1" applyAlignment="1">
      <alignment horizontal="center" vertical="center"/>
    </xf>
    <xf numFmtId="2" fontId="76" fillId="0" borderId="22" xfId="0" applyNumberFormat="1" applyFont="1" applyBorder="1" applyAlignment="1">
      <alignment horizontal="center" vertical="center"/>
    </xf>
    <xf numFmtId="2" fontId="76" fillId="0" borderId="23" xfId="0" applyNumberFormat="1" applyFont="1" applyBorder="1" applyAlignment="1">
      <alignment horizontal="center" vertical="center"/>
    </xf>
    <xf numFmtId="0" fontId="76" fillId="0" borderId="23" xfId="0" applyFont="1" applyBorder="1" applyAlignment="1">
      <alignment horizontal="center" vertical="center"/>
    </xf>
    <xf numFmtId="0" fontId="76" fillId="0" borderId="24" xfId="0" applyFont="1" applyBorder="1" applyAlignment="1">
      <alignment horizontal="center" vertical="center"/>
    </xf>
    <xf numFmtId="2" fontId="76" fillId="0" borderId="9" xfId="0" applyNumberFormat="1" applyFont="1" applyBorder="1" applyAlignment="1">
      <alignment horizontal="center" vertical="center"/>
    </xf>
    <xf numFmtId="2" fontId="76" fillId="0" borderId="71" xfId="0" applyNumberFormat="1" applyFont="1" applyBorder="1" applyAlignment="1">
      <alignment horizontal="center" vertical="center"/>
    </xf>
    <xf numFmtId="0" fontId="38" fillId="20" borderId="32" xfId="0" applyFont="1" applyFill="1" applyBorder="1" applyAlignment="1">
      <alignment horizontal="center"/>
    </xf>
    <xf numFmtId="0" fontId="38" fillId="20" borderId="23" xfId="0" applyFont="1" applyFill="1" applyBorder="1" applyAlignment="1">
      <alignment horizontal="center"/>
    </xf>
    <xf numFmtId="0" fontId="38" fillId="20" borderId="24" xfId="0" applyFont="1" applyFill="1" applyBorder="1" applyAlignment="1">
      <alignment horizontal="center"/>
    </xf>
    <xf numFmtId="178" fontId="106" fillId="9" borderId="82" xfId="66" applyNumberFormat="1" applyFont="1" applyFill="1" applyBorder="1" applyAlignment="1">
      <alignment horizontal="center" vertical="center" wrapText="1"/>
    </xf>
    <xf numFmtId="179" fontId="106" fillId="9" borderId="82" xfId="66" applyNumberFormat="1" applyFont="1" applyFill="1" applyBorder="1" applyAlignment="1">
      <alignment horizontal="center" vertical="center" wrapText="1"/>
    </xf>
    <xf numFmtId="167" fontId="106" fillId="0" borderId="82" xfId="66" applyNumberFormat="1" applyFont="1" applyBorder="1" applyAlignment="1">
      <alignment horizontal="center" vertical="center" wrapText="1"/>
    </xf>
    <xf numFmtId="178" fontId="118" fillId="9" borderId="82" xfId="66" applyNumberFormat="1" applyFont="1" applyFill="1" applyBorder="1" applyAlignment="1">
      <alignment horizontal="center" vertical="center" wrapText="1"/>
    </xf>
    <xf numFmtId="167" fontId="118" fillId="9" borderId="82" xfId="67" applyNumberFormat="1" applyFont="1" applyFill="1" applyBorder="1" applyAlignment="1">
      <alignment horizontal="center" vertical="center" wrapText="1"/>
    </xf>
    <xf numFmtId="178" fontId="118" fillId="9" borderId="82" xfId="67" applyNumberFormat="1" applyFont="1" applyFill="1" applyBorder="1" applyAlignment="1">
      <alignment horizontal="center" vertical="center" wrapText="1"/>
    </xf>
    <xf numFmtId="178" fontId="118" fillId="9" borderId="82" xfId="67" applyNumberFormat="1" applyFont="1" applyFill="1" applyBorder="1" applyAlignment="1">
      <alignment horizontal="center" vertical="center"/>
    </xf>
    <xf numFmtId="179" fontId="118" fillId="9" borderId="82" xfId="66" applyNumberFormat="1" applyFont="1" applyFill="1" applyBorder="1" applyAlignment="1">
      <alignment horizontal="center" vertical="center" wrapText="1"/>
    </xf>
    <xf numFmtId="2" fontId="118" fillId="9" borderId="82" xfId="54" applyNumberFormat="1" applyFont="1" applyFill="1" applyBorder="1" applyAlignment="1">
      <alignment horizontal="left" vertical="center" wrapText="1"/>
    </xf>
    <xf numFmtId="0" fontId="118" fillId="0" borderId="100" xfId="54" applyFont="1" applyBorder="1" applyAlignment="1">
      <alignment vertical="center" wrapText="1"/>
    </xf>
    <xf numFmtId="2" fontId="118" fillId="0" borderId="101" xfId="54" applyNumberFormat="1" applyFont="1" applyBorder="1" applyAlignment="1">
      <alignment horizontal="center" vertical="center" wrapText="1"/>
    </xf>
    <xf numFmtId="2" fontId="118" fillId="0" borderId="101" xfId="54" applyNumberFormat="1" applyFont="1" applyBorder="1" applyAlignment="1">
      <alignment horizontal="left" vertical="center" wrapText="1"/>
    </xf>
    <xf numFmtId="0" fontId="118" fillId="0" borderId="102" xfId="54" applyFont="1" applyBorder="1" applyAlignment="1">
      <alignment vertical="center"/>
    </xf>
    <xf numFmtId="0" fontId="0" fillId="0" borderId="21" xfId="0" applyBorder="1"/>
    <xf numFmtId="0" fontId="0" fillId="0" borderId="23" xfId="0" applyBorder="1"/>
    <xf numFmtId="0" fontId="0" fillId="0" borderId="24" xfId="0" applyBorder="1"/>
    <xf numFmtId="0" fontId="119" fillId="22" borderId="30" xfId="54" applyFont="1" applyFill="1" applyBorder="1" applyAlignment="1">
      <alignment vertical="center" wrapText="1"/>
    </xf>
    <xf numFmtId="2" fontId="129" fillId="22" borderId="20" xfId="0" applyNumberFormat="1" applyFont="1" applyFill="1" applyBorder="1"/>
    <xf numFmtId="0" fontId="129" fillId="22" borderId="21" xfId="0" applyFont="1" applyFill="1" applyBorder="1"/>
    <xf numFmtId="0" fontId="119" fillId="22" borderId="32" xfId="54" applyFont="1" applyFill="1" applyBorder="1" applyAlignment="1">
      <alignment vertical="center" wrapText="1"/>
    </xf>
    <xf numFmtId="0" fontId="129" fillId="22" borderId="23" xfId="0" applyFont="1" applyFill="1" applyBorder="1"/>
    <xf numFmtId="2" fontId="129" fillId="22" borderId="23" xfId="0" applyNumberFormat="1" applyFont="1" applyFill="1" applyBorder="1"/>
    <xf numFmtId="0" fontId="129" fillId="22" borderId="24" xfId="0" applyFont="1" applyFill="1" applyBorder="1"/>
    <xf numFmtId="0" fontId="0" fillId="0" borderId="30" xfId="0" applyBorder="1"/>
    <xf numFmtId="0" fontId="0" fillId="0" borderId="20" xfId="0" applyBorder="1"/>
    <xf numFmtId="0" fontId="0" fillId="0" borderId="31" xfId="0" applyBorder="1"/>
    <xf numFmtId="0" fontId="0" fillId="0" borderId="22" xfId="0" applyBorder="1"/>
    <xf numFmtId="0" fontId="0" fillId="0" borderId="32" xfId="0" applyBorder="1"/>
    <xf numFmtId="0" fontId="0" fillId="0" borderId="25" xfId="0" applyBorder="1"/>
    <xf numFmtId="0" fontId="0" fillId="0" borderId="4" xfId="0" applyBorder="1"/>
    <xf numFmtId="0" fontId="0" fillId="0" borderId="26" xfId="0" applyBorder="1"/>
    <xf numFmtId="44" fontId="38" fillId="17" borderId="46" xfId="29" applyFont="1" applyFill="1" applyBorder="1"/>
    <xf numFmtId="178" fontId="0" fillId="0" borderId="21" xfId="0" applyNumberFormat="1" applyBorder="1" applyAlignment="1">
      <alignment horizontal="center"/>
    </xf>
    <xf numFmtId="179" fontId="0" fillId="0" borderId="22" xfId="0" applyNumberFormat="1" applyBorder="1" applyAlignment="1">
      <alignment horizontal="center"/>
    </xf>
    <xf numFmtId="179" fontId="0" fillId="0" borderId="24" xfId="0" applyNumberFormat="1" applyBorder="1" applyAlignment="1">
      <alignment horizontal="center"/>
    </xf>
    <xf numFmtId="0" fontId="0" fillId="23" borderId="53" xfId="0" applyFill="1" applyBorder="1"/>
    <xf numFmtId="0" fontId="0" fillId="23" borderId="54" xfId="0" applyFill="1" applyBorder="1"/>
    <xf numFmtId="0" fontId="0" fillId="23" borderId="63" xfId="0" applyFill="1" applyBorder="1"/>
    <xf numFmtId="0" fontId="0" fillId="23" borderId="48" xfId="0" applyFill="1" applyBorder="1"/>
    <xf numFmtId="43" fontId="115" fillId="0" borderId="77" xfId="3" applyFont="1" applyFill="1" applyBorder="1" applyProtection="1">
      <protection locked="0"/>
    </xf>
    <xf numFmtId="181" fontId="115" fillId="19" borderId="52" xfId="3" applyNumberFormat="1" applyFont="1" applyFill="1" applyBorder="1" applyProtection="1">
      <protection locked="0"/>
    </xf>
    <xf numFmtId="0" fontId="38" fillId="17" borderId="43" xfId="0" applyFont="1" applyFill="1" applyBorder="1"/>
    <xf numFmtId="0" fontId="38" fillId="17" borderId="42" xfId="0" applyFont="1" applyFill="1" applyBorder="1"/>
    <xf numFmtId="0" fontId="38" fillId="17" borderId="41" xfId="0" applyFont="1" applyFill="1" applyBorder="1"/>
    <xf numFmtId="0" fontId="0" fillId="0" borderId="67" xfId="0" applyBorder="1"/>
    <xf numFmtId="0" fontId="0" fillId="0" borderId="3" xfId="0" applyBorder="1"/>
    <xf numFmtId="0" fontId="0" fillId="0" borderId="62" xfId="0" applyBorder="1"/>
    <xf numFmtId="0" fontId="0" fillId="0" borderId="68" xfId="0" applyBorder="1"/>
    <xf numFmtId="0" fontId="0" fillId="0" borderId="75" xfId="0" applyBorder="1"/>
    <xf numFmtId="0" fontId="0" fillId="0" borderId="76" xfId="0" applyBorder="1"/>
    <xf numFmtId="9" fontId="3" fillId="6" borderId="1" xfId="57" applyFont="1" applyFill="1" applyBorder="1" applyAlignment="1" applyProtection="1">
      <alignment horizontal="right"/>
      <protection locked="0"/>
    </xf>
    <xf numFmtId="0" fontId="118" fillId="0" borderId="1" xfId="67" applyFont="1" applyBorder="1" applyAlignment="1">
      <alignment horizontal="center" vertical="center"/>
    </xf>
    <xf numFmtId="0" fontId="118" fillId="0" borderId="1" xfId="67" applyFont="1" applyBorder="1" applyAlignment="1">
      <alignment vertical="center" wrapText="1"/>
    </xf>
    <xf numFmtId="3" fontId="118" fillId="0" borderId="1" xfId="67" applyNumberFormat="1" applyFont="1" applyBorder="1" applyAlignment="1">
      <alignment horizontal="center" vertical="center"/>
    </xf>
    <xf numFmtId="3" fontId="118" fillId="0" borderId="1" xfId="67" applyNumberFormat="1" applyFont="1" applyBorder="1" applyAlignment="1">
      <alignment horizontal="center" vertical="center" wrapText="1"/>
    </xf>
    <xf numFmtId="0" fontId="118" fillId="0" borderId="1" xfId="0" applyFont="1" applyBorder="1" applyAlignment="1">
      <alignment vertical="center"/>
    </xf>
    <xf numFmtId="0" fontId="118" fillId="0" borderId="1" xfId="67" applyFont="1" applyBorder="1" applyAlignment="1">
      <alignment horizontal="left" vertical="center" wrapText="1"/>
    </xf>
    <xf numFmtId="0" fontId="118" fillId="0" borderId="1" xfId="67" applyFont="1" applyBorder="1" applyAlignment="1">
      <alignment horizontal="center" vertical="center" wrapText="1"/>
    </xf>
    <xf numFmtId="0" fontId="37" fillId="0" borderId="1" xfId="67" applyFont="1" applyBorder="1" applyAlignment="1">
      <alignment vertical="center"/>
    </xf>
    <xf numFmtId="0" fontId="118" fillId="0" borderId="1" xfId="67" applyFont="1" applyBorder="1" applyAlignment="1">
      <alignment wrapText="1"/>
    </xf>
    <xf numFmtId="0" fontId="118" fillId="0" borderId="0" xfId="67" applyFont="1" applyAlignment="1">
      <alignment vertical="center" wrapText="1"/>
    </xf>
    <xf numFmtId="0" fontId="117" fillId="24" borderId="2" xfId="67" applyFont="1" applyFill="1" applyBorder="1" applyAlignment="1">
      <alignment horizontal="center" vertical="center" wrapText="1"/>
    </xf>
    <xf numFmtId="0" fontId="117" fillId="24" borderId="103" xfId="67" applyFont="1" applyFill="1" applyBorder="1" applyAlignment="1">
      <alignment horizontal="center" vertical="center" wrapText="1"/>
    </xf>
    <xf numFmtId="0" fontId="118" fillId="0" borderId="22" xfId="67" applyFont="1" applyBorder="1" applyAlignment="1">
      <alignment vertical="center" wrapText="1"/>
    </xf>
    <xf numFmtId="0" fontId="118" fillId="0" borderId="31" xfId="67" applyFont="1" applyBorder="1" applyAlignment="1">
      <alignment vertical="center" wrapText="1"/>
    </xf>
    <xf numFmtId="0" fontId="118" fillId="0" borderId="22" xfId="0" applyFont="1" applyBorder="1" applyAlignment="1">
      <alignment vertical="center"/>
    </xf>
    <xf numFmtId="0" fontId="118" fillId="0" borderId="31" xfId="67" applyFont="1" applyBorder="1" applyAlignment="1">
      <alignment horizontal="left" vertical="center" wrapText="1"/>
    </xf>
    <xf numFmtId="0" fontId="0" fillId="0" borderId="22" xfId="67" applyFont="1" applyBorder="1" applyAlignment="1">
      <alignment vertical="center"/>
    </xf>
    <xf numFmtId="0" fontId="118" fillId="0" borderId="31" xfId="67" applyFont="1" applyBorder="1" applyAlignment="1">
      <alignment wrapText="1"/>
    </xf>
    <xf numFmtId="0" fontId="118" fillId="0" borderId="32" xfId="67" applyFont="1" applyBorder="1" applyAlignment="1">
      <alignment wrapText="1"/>
    </xf>
    <xf numFmtId="0" fontId="118" fillId="0" borderId="23" xfId="67" applyFont="1" applyBorder="1" applyAlignment="1">
      <alignment horizontal="center" vertical="center"/>
    </xf>
    <xf numFmtId="0" fontId="0" fillId="0" borderId="24" xfId="67" applyFont="1" applyBorder="1" applyAlignment="1">
      <alignment vertical="center"/>
    </xf>
    <xf numFmtId="0" fontId="118" fillId="0" borderId="9" xfId="67" applyFont="1" applyBorder="1" applyAlignment="1">
      <alignment horizontal="center" vertical="center"/>
    </xf>
    <xf numFmtId="0" fontId="118" fillId="0" borderId="71" xfId="67" applyFont="1" applyBorder="1" applyAlignment="1">
      <alignment vertical="center" wrapText="1"/>
    </xf>
    <xf numFmtId="0" fontId="117" fillId="24" borderId="32" xfId="67" applyFont="1" applyFill="1" applyBorder="1" applyAlignment="1">
      <alignment horizontal="center" vertical="center" wrapText="1"/>
    </xf>
    <xf numFmtId="0" fontId="117" fillId="24" borderId="64" xfId="67" applyFont="1" applyFill="1" applyBorder="1" applyAlignment="1">
      <alignment horizontal="center" vertical="center" wrapText="1"/>
    </xf>
    <xf numFmtId="0" fontId="117" fillId="24" borderId="24" xfId="67" applyFont="1" applyFill="1" applyBorder="1" applyAlignment="1">
      <alignment horizontal="center" vertical="center" wrapText="1"/>
    </xf>
    <xf numFmtId="0" fontId="117" fillId="24" borderId="7" xfId="67" applyFont="1" applyFill="1" applyBorder="1" applyAlignment="1">
      <alignment horizontal="center" vertical="center" wrapText="1"/>
    </xf>
    <xf numFmtId="3" fontId="118" fillId="0" borderId="53" xfId="67" applyNumberFormat="1" applyFont="1" applyBorder="1" applyAlignment="1">
      <alignment horizontal="center" vertical="center"/>
    </xf>
    <xf numFmtId="3" fontId="118" fillId="0" borderId="54" xfId="67" applyNumberFormat="1" applyFont="1" applyBorder="1" applyAlignment="1">
      <alignment horizontal="center" vertical="center"/>
    </xf>
    <xf numFmtId="0" fontId="117" fillId="24" borderId="42" xfId="67" applyFont="1" applyFill="1" applyBorder="1" applyAlignment="1">
      <alignment horizontal="center" vertical="center" wrapText="1"/>
    </xf>
    <xf numFmtId="3" fontId="118" fillId="0" borderId="75" xfId="67" applyNumberFormat="1" applyFont="1" applyBorder="1" applyAlignment="1">
      <alignment horizontal="center" vertical="center"/>
    </xf>
    <xf numFmtId="3" fontId="118" fillId="0" borderId="76" xfId="67" applyNumberFormat="1" applyFont="1" applyBorder="1" applyAlignment="1">
      <alignment horizontal="center" vertical="center"/>
    </xf>
    <xf numFmtId="9" fontId="115" fillId="19" borderId="77" xfId="57" applyFont="1" applyFill="1" applyBorder="1" applyProtection="1">
      <protection locked="0"/>
    </xf>
    <xf numFmtId="9" fontId="115" fillId="19" borderId="75" xfId="57" applyFont="1" applyFill="1" applyBorder="1" applyProtection="1">
      <protection locked="0"/>
    </xf>
    <xf numFmtId="9" fontId="115" fillId="19" borderId="76" xfId="57" applyFont="1" applyFill="1" applyBorder="1" applyProtection="1">
      <protection locked="0"/>
    </xf>
    <xf numFmtId="166" fontId="118" fillId="0" borderId="1" xfId="67" applyNumberFormat="1" applyFont="1" applyBorder="1" applyAlignment="1">
      <alignment horizontal="right" vertical="center" wrapText="1"/>
    </xf>
    <xf numFmtId="167" fontId="118" fillId="0" borderId="1" xfId="67" applyNumberFormat="1" applyFont="1" applyBorder="1" applyAlignment="1">
      <alignment horizontal="right" vertical="center" wrapText="1"/>
    </xf>
    <xf numFmtId="0" fontId="118" fillId="0" borderId="1" xfId="67" applyFont="1" applyBorder="1" applyAlignment="1">
      <alignment horizontal="right" wrapText="1"/>
    </xf>
    <xf numFmtId="166" fontId="118" fillId="0" borderId="9" xfId="67" applyNumberFormat="1" applyFont="1" applyBorder="1" applyAlignment="1">
      <alignment horizontal="right" vertical="center" wrapText="1"/>
    </xf>
    <xf numFmtId="0" fontId="118" fillId="0" borderId="79" xfId="67" applyFont="1" applyBorder="1" applyAlignment="1">
      <alignment vertical="center" wrapText="1"/>
    </xf>
    <xf numFmtId="0" fontId="118" fillId="0" borderId="32" xfId="67" applyFont="1" applyBorder="1" applyAlignment="1">
      <alignment vertical="center" wrapText="1"/>
    </xf>
    <xf numFmtId="0" fontId="0" fillId="0" borderId="23" xfId="67" applyFont="1" applyBorder="1" applyAlignment="1">
      <alignment horizontal="center" wrapText="1"/>
    </xf>
    <xf numFmtId="0" fontId="118" fillId="0" borderId="24" xfId="67" applyFont="1" applyBorder="1" applyAlignment="1">
      <alignment vertical="center" wrapText="1"/>
    </xf>
    <xf numFmtId="0" fontId="117" fillId="20" borderId="32" xfId="67" applyFont="1" applyFill="1" applyBorder="1" applyAlignment="1">
      <alignment vertical="center" wrapText="1"/>
    </xf>
    <xf numFmtId="0" fontId="117" fillId="20" borderId="24" xfId="67" applyFont="1" applyFill="1" applyBorder="1" applyAlignment="1">
      <alignment horizontal="center" vertical="center" wrapText="1"/>
    </xf>
    <xf numFmtId="0" fontId="130" fillId="0" borderId="71" xfId="67" applyFont="1" applyBorder="1" applyAlignment="1">
      <alignment horizontal="center"/>
    </xf>
    <xf numFmtId="0" fontId="130" fillId="0" borderId="22" xfId="67" applyFont="1" applyBorder="1" applyAlignment="1">
      <alignment horizontal="center"/>
    </xf>
    <xf numFmtId="0" fontId="130" fillId="0" borderId="24" xfId="67" applyFont="1" applyBorder="1" applyAlignment="1">
      <alignment horizontal="center"/>
    </xf>
    <xf numFmtId="0" fontId="118" fillId="0" borderId="63" xfId="67" applyFont="1" applyBorder="1" applyAlignment="1">
      <alignment vertical="center"/>
    </xf>
    <xf numFmtId="0" fontId="118" fillId="0" borderId="53" xfId="67" applyFont="1" applyBorder="1" applyAlignment="1">
      <alignment vertical="center"/>
    </xf>
    <xf numFmtId="0" fontId="118" fillId="0" borderId="54" xfId="67" applyFont="1" applyBorder="1" applyAlignment="1">
      <alignment vertical="center"/>
    </xf>
    <xf numFmtId="0" fontId="117" fillId="20" borderId="7" xfId="67" applyFont="1" applyFill="1" applyBorder="1" applyAlignment="1">
      <alignment vertical="center"/>
    </xf>
    <xf numFmtId="0" fontId="118" fillId="0" borderId="48" xfId="67" applyFont="1" applyBorder="1" applyAlignment="1">
      <alignment vertical="center"/>
    </xf>
    <xf numFmtId="0" fontId="0" fillId="25" borderId="0" xfId="0" applyFill="1"/>
    <xf numFmtId="0" fontId="38" fillId="8" borderId="4" xfId="0" applyFont="1" applyFill="1" applyBorder="1" applyAlignment="1">
      <alignment horizontal="center"/>
    </xf>
    <xf numFmtId="0" fontId="42" fillId="0" borderId="4" xfId="0" applyFont="1" applyBorder="1" applyProtection="1">
      <protection hidden="1"/>
    </xf>
    <xf numFmtId="2" fontId="0" fillId="0" borderId="72" xfId="0" applyNumberFormat="1" applyBorder="1"/>
    <xf numFmtId="2" fontId="0" fillId="9" borderId="67" xfId="0" applyNumberFormat="1" applyFill="1" applyBorder="1"/>
    <xf numFmtId="2" fontId="0" fillId="9" borderId="3" xfId="0" applyNumberFormat="1" applyFill="1" applyBorder="1"/>
    <xf numFmtId="2" fontId="0" fillId="9" borderId="62" xfId="0" applyNumberFormat="1" applyFill="1" applyBorder="1"/>
    <xf numFmtId="2" fontId="0" fillId="0" borderId="62" xfId="0" applyNumberFormat="1" applyBorder="1"/>
    <xf numFmtId="0" fontId="0" fillId="0" borderId="28" xfId="0" applyBorder="1"/>
    <xf numFmtId="0" fontId="0" fillId="0" borderId="29" xfId="0" applyBorder="1"/>
    <xf numFmtId="0" fontId="0" fillId="0" borderId="70" xfId="0" applyBorder="1"/>
    <xf numFmtId="0" fontId="0" fillId="0" borderId="55" xfId="0" applyBorder="1"/>
    <xf numFmtId="0" fontId="0" fillId="0" borderId="35" xfId="0" applyBorder="1"/>
    <xf numFmtId="0" fontId="0" fillId="0" borderId="59" xfId="0" applyBorder="1"/>
    <xf numFmtId="0" fontId="0" fillId="0" borderId="58" xfId="0" applyBorder="1"/>
    <xf numFmtId="0" fontId="0" fillId="0" borderId="40" xfId="0" applyBorder="1"/>
    <xf numFmtId="0" fontId="0" fillId="0" borderId="69" xfId="0" applyBorder="1"/>
    <xf numFmtId="0" fontId="0" fillId="0" borderId="103" xfId="0" applyBorder="1"/>
    <xf numFmtId="0" fontId="0" fillId="0" borderId="27" xfId="0" applyBorder="1"/>
    <xf numFmtId="0" fontId="18" fillId="0" borderId="0" xfId="52" applyFont="1" applyAlignment="1" applyProtection="1">
      <alignment horizontal="center" vertical="top"/>
      <protection hidden="1"/>
    </xf>
    <xf numFmtId="172" fontId="42" fillId="0" borderId="0" xfId="0" applyNumberFormat="1" applyFont="1" applyProtection="1">
      <protection hidden="1"/>
    </xf>
    <xf numFmtId="0" fontId="0" fillId="0" borderId="19" xfId="0" applyBorder="1"/>
    <xf numFmtId="44" fontId="0" fillId="0" borderId="20" xfId="29" applyFont="1" applyBorder="1"/>
    <xf numFmtId="44" fontId="0" fillId="0" borderId="1" xfId="29" applyFont="1" applyBorder="1"/>
    <xf numFmtId="44" fontId="0" fillId="0" borderId="23" xfId="29" applyFont="1" applyBorder="1"/>
    <xf numFmtId="44" fontId="0" fillId="0" borderId="18" xfId="29" applyFont="1" applyBorder="1"/>
    <xf numFmtId="0" fontId="80" fillId="0" borderId="103" xfId="52" applyFont="1" applyBorder="1" applyAlignment="1" applyProtection="1">
      <alignment horizontal="center" vertical="center"/>
      <protection hidden="1"/>
    </xf>
    <xf numFmtId="171" fontId="80" fillId="0" borderId="103" xfId="52" applyNumberFormat="1" applyFont="1" applyBorder="1" applyAlignment="1" applyProtection="1">
      <alignment horizontal="center" vertical="center" wrapText="1"/>
      <protection hidden="1"/>
    </xf>
    <xf numFmtId="0" fontId="79" fillId="17" borderId="30" xfId="52" applyFont="1" applyFill="1" applyBorder="1" applyAlignment="1" applyProtection="1">
      <alignment vertical="center"/>
      <protection hidden="1"/>
    </xf>
    <xf numFmtId="0" fontId="79" fillId="17" borderId="31" xfId="52" applyFont="1" applyFill="1" applyBorder="1" applyAlignment="1" applyProtection="1">
      <alignment vertical="center"/>
      <protection hidden="1"/>
    </xf>
    <xf numFmtId="0" fontId="79" fillId="17" borderId="32" xfId="52" applyFont="1" applyFill="1" applyBorder="1" applyAlignment="1" applyProtection="1">
      <alignment vertical="center"/>
      <protection hidden="1"/>
    </xf>
    <xf numFmtId="170" fontId="80" fillId="0" borderId="103" xfId="52" applyNumberFormat="1" applyFont="1" applyBorder="1" applyAlignment="1" applyProtection="1">
      <alignment horizontal="center" vertical="center" wrapText="1"/>
      <protection hidden="1"/>
    </xf>
    <xf numFmtId="164" fontId="80" fillId="0" borderId="103" xfId="29" applyNumberFormat="1" applyFont="1" applyBorder="1" applyAlignment="1" applyProtection="1">
      <alignment horizontal="center"/>
      <protection hidden="1"/>
    </xf>
    <xf numFmtId="0" fontId="79" fillId="17" borderId="19" xfId="52" applyFont="1" applyFill="1" applyBorder="1" applyAlignment="1" applyProtection="1">
      <alignment horizontal="center" vertical="center" wrapText="1"/>
      <protection hidden="1"/>
    </xf>
    <xf numFmtId="0" fontId="79" fillId="17" borderId="17" xfId="52" applyFont="1" applyFill="1" applyBorder="1" applyAlignment="1" applyProtection="1">
      <alignment horizontal="center" vertical="center" wrapText="1"/>
      <protection hidden="1"/>
    </xf>
    <xf numFmtId="0" fontId="79" fillId="17" borderId="18" xfId="52" applyFont="1" applyFill="1" applyBorder="1" applyAlignment="1" applyProtection="1">
      <alignment horizontal="center" vertical="center" wrapText="1"/>
      <protection hidden="1"/>
    </xf>
    <xf numFmtId="44" fontId="53" fillId="6" borderId="39" xfId="0" applyNumberFormat="1" applyFont="1" applyFill="1" applyBorder="1" applyProtection="1">
      <protection hidden="1"/>
    </xf>
    <xf numFmtId="43" fontId="53" fillId="6" borderId="39" xfId="3" applyFont="1" applyFill="1" applyBorder="1" applyAlignment="1" applyProtection="1">
      <alignment horizontal="center"/>
      <protection hidden="1"/>
    </xf>
    <xf numFmtId="164" fontId="53" fillId="6" borderId="40" xfId="29" applyNumberFormat="1" applyFont="1" applyFill="1" applyBorder="1" applyAlignment="1" applyProtection="1">
      <alignment horizontal="center"/>
      <protection hidden="1"/>
    </xf>
    <xf numFmtId="3" fontId="53" fillId="6" borderId="20" xfId="0" applyNumberFormat="1" applyFont="1" applyFill="1" applyBorder="1" applyAlignment="1" applyProtection="1">
      <alignment horizontal="center" vertical="center"/>
      <protection hidden="1"/>
    </xf>
    <xf numFmtId="171" fontId="13" fillId="6" borderId="20" xfId="52" applyNumberFormat="1" applyFont="1" applyFill="1" applyBorder="1" applyAlignment="1" applyProtection="1">
      <alignment horizontal="center" vertical="center" wrapText="1"/>
      <protection hidden="1"/>
    </xf>
    <xf numFmtId="170" fontId="13" fillId="6" borderId="20" xfId="52" applyNumberFormat="1" applyFont="1" applyFill="1" applyBorder="1" applyAlignment="1" applyProtection="1">
      <alignment horizontal="center" vertical="center" wrapText="1"/>
      <protection hidden="1"/>
    </xf>
    <xf numFmtId="170" fontId="13" fillId="6" borderId="21" xfId="52" applyNumberFormat="1" applyFont="1" applyFill="1" applyBorder="1" applyAlignment="1" applyProtection="1">
      <alignment horizontal="center" vertical="center" wrapText="1"/>
      <protection hidden="1"/>
    </xf>
    <xf numFmtId="3" fontId="53" fillId="6" borderId="1" xfId="0" applyNumberFormat="1" applyFont="1" applyFill="1" applyBorder="1" applyAlignment="1" applyProtection="1">
      <alignment horizontal="center"/>
      <protection hidden="1"/>
    </xf>
    <xf numFmtId="171" fontId="13" fillId="6" borderId="1" xfId="52" applyNumberFormat="1" applyFont="1" applyFill="1" applyBorder="1" applyAlignment="1" applyProtection="1">
      <alignment horizontal="center" vertical="center" wrapText="1"/>
      <protection hidden="1"/>
    </xf>
    <xf numFmtId="170" fontId="13" fillId="6" borderId="1" xfId="52" applyNumberFormat="1" applyFont="1" applyFill="1" applyBorder="1" applyAlignment="1" applyProtection="1">
      <alignment horizontal="center" vertical="center" wrapText="1"/>
      <protection hidden="1"/>
    </xf>
    <xf numFmtId="170" fontId="13" fillId="6" borderId="22" xfId="52" applyNumberFormat="1" applyFont="1" applyFill="1" applyBorder="1" applyAlignment="1" applyProtection="1">
      <alignment horizontal="center" vertical="center" wrapText="1"/>
      <protection hidden="1"/>
    </xf>
    <xf numFmtId="3" fontId="53" fillId="6" borderId="23" xfId="0" applyNumberFormat="1" applyFont="1" applyFill="1" applyBorder="1" applyAlignment="1" applyProtection="1">
      <alignment horizontal="center"/>
      <protection hidden="1"/>
    </xf>
    <xf numFmtId="4" fontId="13" fillId="6" borderId="20" xfId="52" applyNumberFormat="1" applyFont="1" applyFill="1" applyBorder="1" applyAlignment="1" applyProtection="1">
      <alignment horizontal="center" vertical="center" wrapText="1"/>
      <protection hidden="1"/>
    </xf>
    <xf numFmtId="4" fontId="13" fillId="6" borderId="1" xfId="52" applyNumberFormat="1" applyFont="1" applyFill="1" applyBorder="1" applyAlignment="1" applyProtection="1">
      <alignment horizontal="center" vertical="center" wrapText="1"/>
      <protection hidden="1"/>
    </xf>
    <xf numFmtId="0" fontId="116" fillId="0" borderId="0" xfId="0" applyFont="1" applyAlignment="1">
      <alignment horizontal="left"/>
    </xf>
    <xf numFmtId="3" fontId="118" fillId="0" borderId="63" xfId="67" applyNumberFormat="1" applyFont="1" applyBorder="1" applyAlignment="1">
      <alignment horizontal="center" vertical="center"/>
    </xf>
    <xf numFmtId="164" fontId="116" fillId="0" borderId="0" xfId="29" applyNumberFormat="1" applyFont="1" applyBorder="1" applyAlignment="1">
      <alignment horizontal="left"/>
    </xf>
    <xf numFmtId="164" fontId="118" fillId="0" borderId="63" xfId="29" applyNumberFormat="1" applyFont="1" applyBorder="1" applyAlignment="1">
      <alignment horizontal="center" vertical="center"/>
    </xf>
    <xf numFmtId="164" fontId="118" fillId="0" borderId="53" xfId="29" applyNumberFormat="1" applyFont="1" applyBorder="1" applyAlignment="1">
      <alignment horizontal="center" vertical="center"/>
    </xf>
    <xf numFmtId="164" fontId="118" fillId="0" borderId="54" xfId="29" applyNumberFormat="1" applyFont="1" applyBorder="1" applyAlignment="1">
      <alignment horizontal="center" vertical="center"/>
    </xf>
    <xf numFmtId="171" fontId="13" fillId="6" borderId="23" xfId="52" applyNumberFormat="1" applyFont="1" applyFill="1" applyBorder="1" applyAlignment="1" applyProtection="1">
      <alignment horizontal="center" vertical="center" wrapText="1"/>
      <protection hidden="1"/>
    </xf>
    <xf numFmtId="171" fontId="13" fillId="6" borderId="24" xfId="52" applyNumberFormat="1" applyFont="1" applyFill="1" applyBorder="1" applyAlignment="1" applyProtection="1">
      <alignment horizontal="center" vertical="center" wrapText="1"/>
      <protection hidden="1"/>
    </xf>
    <xf numFmtId="4" fontId="13" fillId="6" borderId="23" xfId="52" applyNumberFormat="1" applyFont="1" applyFill="1" applyBorder="1" applyAlignment="1" applyProtection="1">
      <alignment horizontal="center" vertical="center" wrapText="1"/>
      <protection hidden="1"/>
    </xf>
    <xf numFmtId="2" fontId="53" fillId="6" borderId="44" xfId="0" applyNumberFormat="1" applyFont="1" applyFill="1" applyBorder="1" applyAlignment="1" applyProtection="1">
      <alignment horizontal="center"/>
      <protection hidden="1"/>
    </xf>
    <xf numFmtId="43" fontId="0" fillId="0" borderId="0" xfId="0" applyNumberFormat="1"/>
    <xf numFmtId="44" fontId="115" fillId="19" borderId="53" xfId="29" applyFont="1" applyFill="1" applyBorder="1" applyProtection="1">
      <protection locked="0"/>
    </xf>
    <xf numFmtId="44" fontId="115" fillId="19" borderId="75" xfId="29" applyFont="1" applyFill="1" applyBorder="1" applyProtection="1">
      <protection locked="0"/>
    </xf>
    <xf numFmtId="44" fontId="115" fillId="19" borderId="54" xfId="29" applyFont="1" applyFill="1" applyBorder="1" applyProtection="1">
      <protection locked="0"/>
    </xf>
    <xf numFmtId="44" fontId="115" fillId="19" borderId="76" xfId="29" applyFont="1" applyFill="1" applyBorder="1" applyProtection="1">
      <protection locked="0"/>
    </xf>
    <xf numFmtId="44" fontId="38" fillId="20" borderId="43" xfId="29" applyFont="1" applyFill="1" applyBorder="1"/>
    <xf numFmtId="44" fontId="38" fillId="20" borderId="7" xfId="29" applyFont="1" applyFill="1" applyBorder="1"/>
    <xf numFmtId="0" fontId="38" fillId="8" borderId="7" xfId="0" applyFont="1" applyFill="1" applyBorder="1" applyAlignment="1">
      <alignment horizontal="center"/>
    </xf>
    <xf numFmtId="0" fontId="3" fillId="6" borderId="31" xfId="52" applyFont="1" applyFill="1" applyBorder="1" applyAlignment="1" applyProtection="1">
      <alignment horizontal="right"/>
      <protection locked="0"/>
    </xf>
    <xf numFmtId="176" fontId="3" fillId="6" borderId="22" xfId="3" applyNumberFormat="1" applyFont="1" applyFill="1" applyBorder="1" applyAlignment="1" applyProtection="1">
      <alignment horizontal="right"/>
      <protection locked="0"/>
    </xf>
    <xf numFmtId="0" fontId="3" fillId="6" borderId="32" xfId="52" applyFont="1" applyFill="1" applyBorder="1" applyAlignment="1" applyProtection="1">
      <alignment horizontal="right"/>
      <protection locked="0"/>
    </xf>
    <xf numFmtId="0" fontId="3" fillId="6" borderId="23" xfId="52" applyFont="1" applyFill="1" applyBorder="1" applyAlignment="1" applyProtection="1">
      <alignment horizontal="right"/>
      <protection locked="0"/>
    </xf>
    <xf numFmtId="176" fontId="3" fillId="6" borderId="23" xfId="3" applyNumberFormat="1" applyFont="1" applyFill="1" applyBorder="1" applyAlignment="1" applyProtection="1">
      <alignment horizontal="right"/>
      <protection locked="0"/>
    </xf>
    <xf numFmtId="176" fontId="3" fillId="6" borderId="24" xfId="3" applyNumberFormat="1" applyFont="1" applyFill="1" applyBorder="1" applyAlignment="1" applyProtection="1">
      <alignment horizontal="right"/>
      <protection locked="0"/>
    </xf>
    <xf numFmtId="0" fontId="99" fillId="17" borderId="32" xfId="52" applyFont="1" applyFill="1" applyBorder="1" applyAlignment="1" applyProtection="1">
      <alignment horizontal="center" vertical="center"/>
      <protection hidden="1"/>
    </xf>
    <xf numFmtId="0" fontId="99" fillId="17" borderId="23" xfId="52" applyFont="1" applyFill="1" applyBorder="1" applyAlignment="1" applyProtection="1">
      <alignment horizontal="center" vertical="center"/>
      <protection hidden="1"/>
    </xf>
    <xf numFmtId="0" fontId="99" fillId="17" borderId="24" xfId="52" applyFont="1" applyFill="1" applyBorder="1" applyAlignment="1" applyProtection="1">
      <alignment horizontal="center" vertical="center" wrapText="1"/>
      <protection hidden="1"/>
    </xf>
    <xf numFmtId="0" fontId="3" fillId="6" borderId="79" xfId="52" applyFont="1" applyFill="1" applyBorder="1" applyAlignment="1" applyProtection="1">
      <alignment horizontal="right"/>
      <protection locked="0"/>
    </xf>
    <xf numFmtId="0" fontId="3" fillId="6" borderId="9" xfId="52" applyFont="1" applyFill="1" applyBorder="1" applyAlignment="1" applyProtection="1">
      <alignment horizontal="right"/>
      <protection locked="0"/>
    </xf>
    <xf numFmtId="177" fontId="3" fillId="6" borderId="9" xfId="3" applyNumberFormat="1" applyFont="1" applyFill="1" applyBorder="1" applyAlignment="1" applyProtection="1">
      <alignment horizontal="right"/>
      <protection locked="0"/>
    </xf>
    <xf numFmtId="176" fontId="3" fillId="6" borderId="9" xfId="3" applyNumberFormat="1" applyFont="1" applyFill="1" applyBorder="1" applyAlignment="1" applyProtection="1">
      <alignment horizontal="right"/>
      <protection locked="0"/>
    </xf>
    <xf numFmtId="176" fontId="3" fillId="6" borderId="71" xfId="3" applyNumberFormat="1" applyFont="1" applyFill="1" applyBorder="1" applyAlignment="1" applyProtection="1">
      <alignment horizontal="right"/>
      <protection locked="0"/>
    </xf>
    <xf numFmtId="0" fontId="3" fillId="6" borderId="22" xfId="52" applyFont="1" applyFill="1" applyBorder="1" applyAlignment="1" applyProtection="1">
      <alignment horizontal="right"/>
      <protection locked="0"/>
    </xf>
    <xf numFmtId="9" fontId="3" fillId="6" borderId="23" xfId="52" applyNumberFormat="1" applyFont="1" applyFill="1" applyBorder="1" applyAlignment="1" applyProtection="1">
      <alignment horizontal="right"/>
      <protection locked="0"/>
    </xf>
    <xf numFmtId="9" fontId="3" fillId="6" borderId="23" xfId="57" applyFont="1" applyFill="1" applyBorder="1" applyAlignment="1" applyProtection="1">
      <alignment horizontal="right"/>
      <protection locked="0"/>
    </xf>
    <xf numFmtId="0" fontId="3" fillId="6" borderId="24" xfId="52" applyFont="1" applyFill="1" applyBorder="1" applyAlignment="1" applyProtection="1">
      <alignment horizontal="right"/>
      <protection locked="0"/>
    </xf>
    <xf numFmtId="0" fontId="99" fillId="17" borderId="24" xfId="52" applyFont="1" applyFill="1" applyBorder="1" applyAlignment="1" applyProtection="1">
      <alignment horizontal="center" vertical="center"/>
      <protection hidden="1"/>
    </xf>
    <xf numFmtId="9" fontId="3" fillId="6" borderId="9" xfId="52" applyNumberFormat="1" applyFont="1" applyFill="1" applyBorder="1" applyAlignment="1" applyProtection="1">
      <alignment horizontal="right"/>
      <protection locked="0"/>
    </xf>
    <xf numFmtId="9" fontId="3" fillId="6" borderId="9" xfId="57" applyFont="1" applyFill="1" applyBorder="1" applyAlignment="1" applyProtection="1">
      <alignment horizontal="right"/>
      <protection locked="0"/>
    </xf>
    <xf numFmtId="0" fontId="3" fillId="6" borderId="71" xfId="52" applyFont="1" applyFill="1" applyBorder="1" applyAlignment="1" applyProtection="1">
      <alignment horizontal="right"/>
      <protection locked="0"/>
    </xf>
    <xf numFmtId="0" fontId="79" fillId="17" borderId="31" xfId="0" applyFont="1" applyFill="1" applyBorder="1" applyAlignment="1" applyProtection="1">
      <alignment horizontal="center" vertical="center"/>
      <protection hidden="1"/>
    </xf>
    <xf numFmtId="0" fontId="79" fillId="17" borderId="22" xfId="0" applyFont="1" applyFill="1" applyBorder="1" applyAlignment="1" applyProtection="1">
      <alignment horizontal="center" vertical="center"/>
      <protection hidden="1"/>
    </xf>
    <xf numFmtId="169" fontId="42" fillId="6" borderId="31" xfId="0" applyNumberFormat="1" applyFont="1" applyFill="1" applyBorder="1" applyProtection="1">
      <protection locked="0"/>
    </xf>
    <xf numFmtId="169" fontId="42" fillId="6" borderId="32" xfId="0" applyNumberFormat="1" applyFont="1" applyFill="1" applyBorder="1" applyProtection="1">
      <protection locked="0"/>
    </xf>
    <xf numFmtId="0" fontId="79" fillId="17" borderId="32" xfId="0" applyFont="1" applyFill="1" applyBorder="1" applyAlignment="1" applyProtection="1">
      <alignment horizontal="center" vertical="center"/>
      <protection hidden="1"/>
    </xf>
    <xf numFmtId="0" fontId="79" fillId="17" borderId="23" xfId="0" applyFont="1" applyFill="1" applyBorder="1" applyAlignment="1" applyProtection="1">
      <alignment horizontal="center" vertical="center"/>
      <protection hidden="1"/>
    </xf>
    <xf numFmtId="0" fontId="79" fillId="17" borderId="24" xfId="0" applyFont="1" applyFill="1" applyBorder="1" applyAlignment="1" applyProtection="1">
      <alignment horizontal="center" vertical="center"/>
      <protection hidden="1"/>
    </xf>
    <xf numFmtId="0" fontId="99" fillId="17" borderId="32" xfId="52" applyFont="1" applyFill="1" applyBorder="1" applyAlignment="1" applyProtection="1">
      <alignment horizontal="center" vertical="center" wrapText="1"/>
      <protection hidden="1"/>
    </xf>
    <xf numFmtId="0" fontId="99" fillId="17" borderId="23" xfId="52" applyFont="1" applyFill="1" applyBorder="1" applyAlignment="1" applyProtection="1">
      <alignment horizontal="center" vertical="center" wrapText="1"/>
      <protection hidden="1"/>
    </xf>
    <xf numFmtId="0" fontId="79" fillId="17" borderId="23" xfId="0" applyFont="1" applyFill="1" applyBorder="1" applyAlignment="1" applyProtection="1">
      <alignment horizontal="center" vertical="center" wrapText="1"/>
      <protection hidden="1"/>
    </xf>
    <xf numFmtId="0" fontId="79" fillId="17" borderId="24" xfId="0" applyFont="1" applyFill="1" applyBorder="1" applyAlignment="1" applyProtection="1">
      <alignment horizontal="center" vertical="center" wrapText="1"/>
      <protection hidden="1"/>
    </xf>
    <xf numFmtId="0" fontId="42" fillId="6" borderId="9" xfId="0" applyFont="1" applyFill="1" applyBorder="1" applyAlignment="1" applyProtection="1">
      <alignment horizontal="right"/>
      <protection locked="0"/>
    </xf>
    <xf numFmtId="0" fontId="42" fillId="6" borderId="9" xfId="0" applyFont="1" applyFill="1" applyBorder="1" applyProtection="1">
      <protection locked="0"/>
    </xf>
    <xf numFmtId="0" fontId="42" fillId="6" borderId="79" xfId="0" applyFont="1" applyFill="1" applyBorder="1" applyAlignment="1" applyProtection="1">
      <alignment horizontal="right"/>
      <protection locked="0"/>
    </xf>
    <xf numFmtId="9" fontId="42" fillId="6" borderId="71" xfId="0" applyNumberFormat="1" applyFont="1" applyFill="1" applyBorder="1" applyProtection="1">
      <protection locked="0"/>
    </xf>
    <xf numFmtId="0" fontId="42" fillId="6" borderId="31" xfId="0" applyFont="1" applyFill="1" applyBorder="1" applyAlignment="1" applyProtection="1">
      <alignment horizontal="right"/>
      <protection locked="0"/>
    </xf>
    <xf numFmtId="9" fontId="42" fillId="6" borderId="22" xfId="0" applyNumberFormat="1" applyFont="1" applyFill="1" applyBorder="1" applyProtection="1">
      <protection locked="0"/>
    </xf>
    <xf numFmtId="0" fontId="42" fillId="6" borderId="32" xfId="0" applyFont="1" applyFill="1" applyBorder="1" applyAlignment="1" applyProtection="1">
      <alignment horizontal="right"/>
      <protection locked="0"/>
    </xf>
    <xf numFmtId="0" fontId="42" fillId="6" borderId="23" xfId="0" applyFont="1" applyFill="1" applyBorder="1" applyAlignment="1" applyProtection="1">
      <alignment horizontal="right"/>
      <protection locked="0"/>
    </xf>
    <xf numFmtId="0" fontId="42" fillId="6" borderId="23" xfId="0" applyFont="1" applyFill="1" applyBorder="1" applyProtection="1">
      <protection locked="0"/>
    </xf>
    <xf numFmtId="9" fontId="42" fillId="6" borderId="24" xfId="0" applyNumberFormat="1" applyFont="1" applyFill="1" applyBorder="1" applyProtection="1">
      <protection locked="0"/>
    </xf>
    <xf numFmtId="0" fontId="79" fillId="17" borderId="52" xfId="0" applyFont="1" applyFill="1" applyBorder="1" applyAlignment="1" applyProtection="1">
      <alignment horizontal="center"/>
      <protection hidden="1"/>
    </xf>
    <xf numFmtId="0" fontId="79" fillId="17" borderId="53" xfId="0" applyFont="1" applyFill="1" applyBorder="1" applyAlignment="1" applyProtection="1">
      <alignment horizontal="center" vertical="center"/>
      <protection hidden="1"/>
    </xf>
    <xf numFmtId="169" fontId="4" fillId="14" borderId="53" xfId="0" applyNumberFormat="1" applyFont="1" applyFill="1" applyBorder="1" applyProtection="1">
      <protection hidden="1"/>
    </xf>
    <xf numFmtId="169" fontId="4" fillId="14" borderId="54" xfId="0" applyNumberFormat="1" applyFont="1" applyFill="1" applyBorder="1" applyProtection="1">
      <protection hidden="1"/>
    </xf>
    <xf numFmtId="0" fontId="79" fillId="17" borderId="54" xfId="0" applyFont="1" applyFill="1" applyBorder="1" applyAlignment="1" applyProtection="1">
      <alignment horizontal="center" vertical="center"/>
      <protection hidden="1"/>
    </xf>
    <xf numFmtId="169" fontId="4" fillId="14" borderId="63" xfId="0" applyNumberFormat="1" applyFont="1" applyFill="1" applyBorder="1" applyProtection="1">
      <protection hidden="1"/>
    </xf>
    <xf numFmtId="0" fontId="79" fillId="17" borderId="78" xfId="0" applyFont="1" applyFill="1" applyBorder="1" applyAlignment="1" applyProtection="1">
      <alignment horizontal="center" vertical="center"/>
      <protection hidden="1"/>
    </xf>
    <xf numFmtId="43" fontId="3" fillId="6" borderId="9" xfId="3" applyFont="1" applyFill="1" applyBorder="1" applyAlignment="1" applyProtection="1">
      <alignment horizontal="right"/>
      <protection locked="0"/>
    </xf>
    <xf numFmtId="0" fontId="99" fillId="17" borderId="69" xfId="52" applyFont="1" applyFill="1" applyBorder="1" applyAlignment="1" applyProtection="1">
      <alignment horizontal="center" vertical="center" wrapText="1"/>
      <protection hidden="1"/>
    </xf>
    <xf numFmtId="0" fontId="99" fillId="17" borderId="103" xfId="52" applyFont="1" applyFill="1" applyBorder="1" applyAlignment="1" applyProtection="1">
      <alignment horizontal="center" vertical="center" wrapText="1"/>
      <protection hidden="1"/>
    </xf>
    <xf numFmtId="0" fontId="79" fillId="17" borderId="103" xfId="0" applyFont="1" applyFill="1" applyBorder="1" applyAlignment="1" applyProtection="1">
      <alignment horizontal="center" vertical="center" wrapText="1"/>
      <protection hidden="1"/>
    </xf>
    <xf numFmtId="0" fontId="79" fillId="17" borderId="70" xfId="0" applyFont="1" applyFill="1" applyBorder="1" applyAlignment="1" applyProtection="1">
      <alignment horizontal="center" vertical="center" wrapText="1"/>
      <protection hidden="1"/>
    </xf>
    <xf numFmtId="0" fontId="42" fillId="6" borderId="71" xfId="0" applyFont="1" applyFill="1" applyBorder="1" applyProtection="1">
      <protection locked="0"/>
    </xf>
    <xf numFmtId="0" fontId="42" fillId="6" borderId="22" xfId="0" applyFont="1" applyFill="1" applyBorder="1" applyProtection="1">
      <protection locked="0"/>
    </xf>
    <xf numFmtId="0" fontId="42" fillId="6" borderId="24" xfId="0" applyFont="1" applyFill="1" applyBorder="1" applyProtection="1">
      <protection locked="0"/>
    </xf>
    <xf numFmtId="0" fontId="7" fillId="0" borderId="103" xfId="52" applyFont="1" applyBorder="1" applyAlignment="1" applyProtection="1">
      <alignment vertical="center"/>
      <protection hidden="1"/>
    </xf>
    <xf numFmtId="0" fontId="7" fillId="0" borderId="56" xfId="52" applyFont="1" applyBorder="1" applyAlignment="1" applyProtection="1">
      <alignment vertical="center"/>
      <protection hidden="1"/>
    </xf>
    <xf numFmtId="0" fontId="5" fillId="0" borderId="56" xfId="52" applyFont="1" applyBorder="1" applyAlignment="1" applyProtection="1">
      <alignment vertical="center"/>
      <protection hidden="1"/>
    </xf>
    <xf numFmtId="0" fontId="7" fillId="0" borderId="56" xfId="52" applyFont="1" applyBorder="1" applyAlignment="1" applyProtection="1">
      <alignment vertical="center" wrapText="1"/>
      <protection hidden="1"/>
    </xf>
    <xf numFmtId="0" fontId="7" fillId="0" borderId="9" xfId="52" applyFont="1" applyBorder="1" applyAlignment="1" applyProtection="1">
      <alignment vertical="center" wrapText="1"/>
      <protection hidden="1"/>
    </xf>
    <xf numFmtId="169" fontId="42" fillId="6" borderId="30" xfId="0" applyNumberFormat="1" applyFont="1" applyFill="1" applyBorder="1" applyProtection="1">
      <protection locked="0"/>
    </xf>
    <xf numFmtId="169" fontId="42" fillId="6" borderId="21" xfId="0" applyNumberFormat="1" applyFont="1" applyFill="1" applyBorder="1" applyProtection="1">
      <protection locked="0"/>
    </xf>
    <xf numFmtId="169" fontId="42" fillId="6" borderId="22" xfId="0" applyNumberFormat="1" applyFont="1" applyFill="1" applyBorder="1" applyProtection="1">
      <protection locked="0"/>
    </xf>
    <xf numFmtId="169" fontId="42" fillId="6" borderId="24" xfId="0" applyNumberFormat="1" applyFont="1" applyFill="1" applyBorder="1" applyProtection="1">
      <protection locked="0"/>
    </xf>
    <xf numFmtId="169" fontId="42" fillId="0" borderId="77" xfId="0" applyNumberFormat="1" applyFont="1" applyBorder="1" applyProtection="1">
      <protection hidden="1"/>
    </xf>
    <xf numFmtId="169" fontId="42" fillId="0" borderId="75" xfId="0" applyNumberFormat="1" applyFont="1" applyBorder="1" applyProtection="1">
      <protection hidden="1"/>
    </xf>
    <xf numFmtId="169" fontId="42" fillId="0" borderId="76" xfId="0" applyNumberFormat="1" applyFont="1" applyBorder="1" applyProtection="1">
      <protection hidden="1"/>
    </xf>
    <xf numFmtId="170" fontId="118" fillId="0" borderId="1" xfId="67" quotePrefix="1" applyNumberFormat="1" applyFont="1" applyBorder="1" applyAlignment="1">
      <alignment horizontal="right" vertical="center" wrapText="1"/>
    </xf>
    <xf numFmtId="0" fontId="118" fillId="0" borderId="23" xfId="67" applyFont="1" applyBorder="1" applyAlignment="1">
      <alignment horizontal="right" vertical="center" wrapText="1"/>
    </xf>
    <xf numFmtId="164" fontId="3" fillId="6" borderId="30" xfId="29" applyNumberFormat="1" applyFont="1" applyFill="1" applyBorder="1" applyAlignment="1" applyProtection="1">
      <alignment horizontal="right"/>
      <protection locked="0"/>
    </xf>
    <xf numFmtId="164" fontId="3" fillId="6" borderId="21" xfId="29" applyNumberFormat="1" applyFont="1" applyFill="1" applyBorder="1" applyAlignment="1" applyProtection="1">
      <alignment horizontal="right"/>
      <protection locked="0"/>
    </xf>
    <xf numFmtId="164" fontId="3" fillId="6" borderId="31" xfId="29" applyNumberFormat="1" applyFont="1" applyFill="1" applyBorder="1" applyAlignment="1" applyProtection="1">
      <alignment horizontal="right"/>
      <protection locked="0"/>
    </xf>
    <xf numFmtId="164" fontId="3" fillId="6" borderId="22" xfId="29" applyNumberFormat="1" applyFont="1" applyFill="1" applyBorder="1" applyAlignment="1" applyProtection="1">
      <alignment horizontal="right"/>
      <protection locked="0"/>
    </xf>
    <xf numFmtId="164" fontId="3" fillId="6" borderId="32" xfId="29" applyNumberFormat="1" applyFont="1" applyFill="1" applyBorder="1" applyAlignment="1" applyProtection="1">
      <alignment horizontal="right"/>
      <protection locked="0"/>
    </xf>
    <xf numFmtId="164" fontId="3" fillId="6" borderId="24" xfId="29" applyNumberFormat="1" applyFont="1" applyFill="1" applyBorder="1" applyAlignment="1" applyProtection="1">
      <alignment horizontal="right"/>
      <protection locked="0"/>
    </xf>
    <xf numFmtId="164" fontId="42" fillId="14" borderId="75" xfId="29" applyNumberFormat="1" applyFont="1" applyFill="1" applyBorder="1" applyProtection="1">
      <protection hidden="1"/>
    </xf>
    <xf numFmtId="164" fontId="42" fillId="14" borderId="76" xfId="29" applyNumberFormat="1" applyFont="1" applyFill="1" applyBorder="1" applyProtection="1">
      <protection hidden="1"/>
    </xf>
    <xf numFmtId="169" fontId="42" fillId="2" borderId="7" xfId="0" applyNumberFormat="1" applyFont="1" applyFill="1" applyBorder="1" applyProtection="1">
      <protection hidden="1"/>
    </xf>
    <xf numFmtId="169" fontId="42" fillId="2" borderId="19" xfId="0" applyNumberFormat="1" applyFont="1" applyFill="1" applyBorder="1" applyProtection="1">
      <protection hidden="1"/>
    </xf>
    <xf numFmtId="169" fontId="42" fillId="2" borderId="17" xfId="0" applyNumberFormat="1" applyFont="1" applyFill="1" applyBorder="1" applyProtection="1">
      <protection hidden="1"/>
    </xf>
    <xf numFmtId="169" fontId="42" fillId="2" borderId="18" xfId="0" applyNumberFormat="1" applyFont="1" applyFill="1" applyBorder="1" applyProtection="1">
      <protection hidden="1"/>
    </xf>
    <xf numFmtId="0" fontId="3" fillId="2" borderId="19" xfId="52" applyFont="1" applyFill="1" applyBorder="1" applyAlignment="1" applyProtection="1">
      <alignment horizontal="right"/>
      <protection hidden="1"/>
    </xf>
    <xf numFmtId="0" fontId="3" fillId="2" borderId="18" xfId="52" applyFont="1" applyFill="1" applyBorder="1" applyAlignment="1" applyProtection="1">
      <alignment horizontal="right"/>
      <protection hidden="1"/>
    </xf>
    <xf numFmtId="0" fontId="3" fillId="2" borderId="17" xfId="52" applyFont="1" applyFill="1" applyBorder="1" applyAlignment="1" applyProtection="1">
      <alignment horizontal="right"/>
      <protection hidden="1"/>
    </xf>
    <xf numFmtId="176" fontId="3" fillId="2" borderId="17" xfId="3" applyNumberFormat="1" applyFont="1" applyFill="1" applyBorder="1" applyAlignment="1" applyProtection="1">
      <alignment horizontal="right"/>
      <protection hidden="1"/>
    </xf>
    <xf numFmtId="176" fontId="3" fillId="2" borderId="18" xfId="3" applyNumberFormat="1" applyFont="1" applyFill="1" applyBorder="1" applyAlignment="1" applyProtection="1">
      <alignment horizontal="right"/>
      <protection hidden="1"/>
    </xf>
    <xf numFmtId="0" fontId="42" fillId="2" borderId="17" xfId="0" applyFont="1" applyFill="1" applyBorder="1" applyProtection="1">
      <protection hidden="1"/>
    </xf>
    <xf numFmtId="0" fontId="42" fillId="2" borderId="18" xfId="0" applyFont="1" applyFill="1" applyBorder="1" applyProtection="1">
      <protection hidden="1"/>
    </xf>
    <xf numFmtId="169" fontId="4" fillId="2" borderId="7" xfId="0" applyNumberFormat="1" applyFont="1" applyFill="1" applyBorder="1" applyProtection="1">
      <protection hidden="1"/>
    </xf>
    <xf numFmtId="169" fontId="42" fillId="14" borderId="77" xfId="0" applyNumberFormat="1" applyFont="1" applyFill="1" applyBorder="1" applyProtection="1">
      <protection hidden="1"/>
    </xf>
    <xf numFmtId="169" fontId="42" fillId="14" borderId="75" xfId="0" applyNumberFormat="1" applyFont="1" applyFill="1" applyBorder="1" applyProtection="1">
      <protection hidden="1"/>
    </xf>
    <xf numFmtId="169" fontId="42" fillId="14" borderId="76" xfId="0" applyNumberFormat="1" applyFont="1" applyFill="1" applyBorder="1" applyProtection="1">
      <protection hidden="1"/>
    </xf>
    <xf numFmtId="9" fontId="3" fillId="2" borderId="17" xfId="52" applyNumberFormat="1" applyFont="1" applyFill="1" applyBorder="1" applyAlignment="1" applyProtection="1">
      <alignment horizontal="right"/>
      <protection hidden="1"/>
    </xf>
    <xf numFmtId="9" fontId="42" fillId="2" borderId="18" xfId="0" applyNumberFormat="1" applyFont="1" applyFill="1" applyBorder="1" applyProtection="1">
      <protection hidden="1"/>
    </xf>
    <xf numFmtId="164" fontId="13" fillId="6" borderId="21" xfId="29" applyNumberFormat="1" applyFont="1" applyFill="1" applyBorder="1" applyAlignment="1" applyProtection="1">
      <alignment horizontal="center" vertical="center" wrapText="1"/>
      <protection hidden="1"/>
    </xf>
    <xf numFmtId="164" fontId="13" fillId="6" borderId="22" xfId="29" applyNumberFormat="1" applyFont="1" applyFill="1" applyBorder="1" applyAlignment="1" applyProtection="1">
      <alignment horizontal="center" vertical="center" wrapText="1"/>
      <protection hidden="1"/>
    </xf>
    <xf numFmtId="164" fontId="13" fillId="6" borderId="24" xfId="29" applyNumberFormat="1" applyFont="1" applyFill="1" applyBorder="1" applyAlignment="1" applyProtection="1">
      <alignment horizontal="center" vertical="center" wrapText="1"/>
      <protection hidden="1"/>
    </xf>
    <xf numFmtId="164" fontId="118" fillId="0" borderId="78" xfId="29" applyNumberFormat="1" applyFont="1" applyBorder="1" applyAlignment="1">
      <alignment horizontal="center" vertical="center"/>
    </xf>
    <xf numFmtId="3" fontId="118" fillId="0" borderId="78" xfId="67" applyNumberFormat="1" applyFont="1" applyBorder="1" applyAlignment="1">
      <alignment horizontal="center" vertical="center"/>
    </xf>
    <xf numFmtId="0" fontId="7" fillId="6" borderId="31" xfId="0" applyFont="1" applyFill="1" applyBorder="1" applyProtection="1">
      <protection locked="0"/>
    </xf>
    <xf numFmtId="0" fontId="7" fillId="6" borderId="32" xfId="0" applyFont="1" applyFill="1" applyBorder="1" applyProtection="1">
      <protection locked="0"/>
    </xf>
    <xf numFmtId="0" fontId="7" fillId="6" borderId="23" xfId="0" applyFont="1" applyFill="1" applyBorder="1" applyProtection="1">
      <protection locked="0"/>
    </xf>
    <xf numFmtId="3" fontId="7" fillId="6" borderId="23" xfId="0" applyNumberFormat="1" applyFont="1" applyFill="1" applyBorder="1" applyProtection="1">
      <protection locked="0"/>
    </xf>
    <xf numFmtId="0" fontId="52" fillId="17" borderId="32" xfId="0" applyFont="1" applyFill="1" applyBorder="1" applyAlignment="1" applyProtection="1">
      <alignment horizontal="center" wrapText="1"/>
      <protection hidden="1"/>
    </xf>
    <xf numFmtId="0" fontId="52" fillId="17" borderId="23" xfId="0" applyFont="1" applyFill="1" applyBorder="1" applyAlignment="1" applyProtection="1">
      <alignment horizontal="center" wrapText="1"/>
      <protection hidden="1"/>
    </xf>
    <xf numFmtId="0" fontId="52" fillId="17" borderId="24" xfId="0" applyFont="1" applyFill="1" applyBorder="1" applyAlignment="1" applyProtection="1">
      <alignment horizontal="center" wrapText="1"/>
      <protection hidden="1"/>
    </xf>
    <xf numFmtId="0" fontId="7" fillId="6" borderId="79" xfId="0" applyFont="1" applyFill="1" applyBorder="1" applyProtection="1">
      <protection locked="0"/>
    </xf>
    <xf numFmtId="0" fontId="7" fillId="6" borderId="9" xfId="0" applyFont="1" applyFill="1" applyBorder="1" applyProtection="1">
      <protection locked="0"/>
    </xf>
    <xf numFmtId="3" fontId="7" fillId="6" borderId="9" xfId="0" applyNumberFormat="1" applyFont="1" applyFill="1" applyBorder="1" applyProtection="1">
      <protection locked="0"/>
    </xf>
    <xf numFmtId="0" fontId="7" fillId="2" borderId="19" xfId="0" applyFont="1" applyFill="1" applyBorder="1" applyProtection="1">
      <protection hidden="1"/>
    </xf>
    <xf numFmtId="0" fontId="7" fillId="2" borderId="17" xfId="0" applyFont="1" applyFill="1" applyBorder="1" applyProtection="1">
      <protection hidden="1"/>
    </xf>
    <xf numFmtId="3" fontId="7" fillId="2" borderId="17" xfId="0" applyNumberFormat="1" applyFont="1" applyFill="1" applyBorder="1" applyProtection="1">
      <protection hidden="1"/>
    </xf>
    <xf numFmtId="0" fontId="7" fillId="2" borderId="18" xfId="0" applyFont="1" applyFill="1" applyBorder="1" applyProtection="1">
      <protection hidden="1"/>
    </xf>
    <xf numFmtId="0" fontId="52" fillId="0" borderId="0" xfId="0" applyFont="1" applyAlignment="1" applyProtection="1">
      <alignment horizontal="center" wrapText="1"/>
      <protection hidden="1"/>
    </xf>
    <xf numFmtId="0" fontId="7" fillId="0" borderId="0" xfId="0" applyFont="1" applyProtection="1">
      <protection hidden="1"/>
    </xf>
    <xf numFmtId="0" fontId="52" fillId="17" borderId="69" xfId="0" applyFont="1" applyFill="1" applyBorder="1" applyAlignment="1" applyProtection="1">
      <alignment horizontal="center" wrapText="1"/>
      <protection hidden="1"/>
    </xf>
    <xf numFmtId="0" fontId="52" fillId="17" borderId="70" xfId="0" applyFont="1" applyFill="1" applyBorder="1" applyAlignment="1" applyProtection="1">
      <alignment horizontal="center" wrapText="1"/>
      <protection hidden="1"/>
    </xf>
    <xf numFmtId="37" fontId="7" fillId="2" borderId="19" xfId="3" applyNumberFormat="1" applyFont="1" applyFill="1" applyBorder="1" applyProtection="1">
      <protection hidden="1"/>
    </xf>
    <xf numFmtId="37" fontId="7" fillId="2" borderId="18" xfId="3" applyNumberFormat="1" applyFont="1" applyFill="1" applyBorder="1" applyProtection="1">
      <protection hidden="1"/>
    </xf>
    <xf numFmtId="0" fontId="52" fillId="17" borderId="32" xfId="0" applyFont="1" applyFill="1" applyBorder="1" applyAlignment="1" applyProtection="1">
      <alignment horizontal="center" vertical="center" wrapText="1"/>
      <protection hidden="1"/>
    </xf>
    <xf numFmtId="0" fontId="52" fillId="17" borderId="23" xfId="0" applyFont="1" applyFill="1" applyBorder="1" applyAlignment="1" applyProtection="1">
      <alignment horizontal="center" vertical="center" wrapText="1"/>
      <protection hidden="1"/>
    </xf>
    <xf numFmtId="0" fontId="7" fillId="6" borderId="44" xfId="0" applyFont="1" applyFill="1" applyBorder="1" applyProtection="1">
      <protection locked="0"/>
    </xf>
    <xf numFmtId="0" fontId="7" fillId="6" borderId="39" xfId="0" applyFont="1" applyFill="1" applyBorder="1" applyAlignment="1" applyProtection="1">
      <alignment horizontal="center"/>
      <protection locked="0"/>
    </xf>
    <xf numFmtId="0" fontId="7" fillId="2" borderId="17" xfId="0" applyFont="1" applyFill="1" applyBorder="1" applyAlignment="1" applyProtection="1">
      <alignment horizontal="center"/>
      <protection hidden="1"/>
    </xf>
    <xf numFmtId="0" fontId="52" fillId="17" borderId="103" xfId="0" applyFont="1" applyFill="1" applyBorder="1" applyAlignment="1" applyProtection="1">
      <alignment horizontal="center" wrapText="1"/>
      <protection hidden="1"/>
    </xf>
    <xf numFmtId="172" fontId="7" fillId="2" borderId="19" xfId="0" applyNumberFormat="1" applyFont="1" applyFill="1" applyBorder="1" applyProtection="1">
      <protection hidden="1"/>
    </xf>
    <xf numFmtId="172" fontId="7" fillId="2" borderId="17" xfId="0" applyNumberFormat="1" applyFont="1" applyFill="1" applyBorder="1" applyProtection="1">
      <protection hidden="1"/>
    </xf>
    <xf numFmtId="172" fontId="7" fillId="2" borderId="18" xfId="0" applyNumberFormat="1" applyFont="1" applyFill="1" applyBorder="1" applyProtection="1">
      <protection hidden="1"/>
    </xf>
    <xf numFmtId="0" fontId="52" fillId="0" borderId="0" xfId="0" applyFont="1" applyAlignment="1" applyProtection="1">
      <alignment horizontal="center" vertical="center" wrapText="1"/>
      <protection hidden="1"/>
    </xf>
    <xf numFmtId="0" fontId="63" fillId="11" borderId="9" xfId="0" applyFont="1" applyFill="1" applyBorder="1" applyProtection="1">
      <protection locked="0"/>
    </xf>
    <xf numFmtId="0" fontId="7" fillId="11" borderId="9" xfId="0" applyFont="1" applyFill="1" applyBorder="1" applyProtection="1">
      <protection locked="0"/>
    </xf>
    <xf numFmtId="0" fontId="7" fillId="2" borderId="44" xfId="0" applyFont="1" applyFill="1" applyBorder="1" applyProtection="1">
      <protection hidden="1"/>
    </xf>
    <xf numFmtId="0" fontId="7" fillId="2" borderId="39" xfId="0" applyFont="1" applyFill="1" applyBorder="1" applyProtection="1">
      <protection hidden="1"/>
    </xf>
    <xf numFmtId="166" fontId="7" fillId="2" borderId="39" xfId="0" applyNumberFormat="1" applyFont="1" applyFill="1" applyBorder="1" applyProtection="1">
      <protection hidden="1"/>
    </xf>
    <xf numFmtId="9" fontId="7" fillId="2" borderId="40" xfId="0" applyNumberFormat="1" applyFont="1" applyFill="1" applyBorder="1" applyProtection="1">
      <protection hidden="1"/>
    </xf>
    <xf numFmtId="42" fontId="7" fillId="0" borderId="9" xfId="3" applyNumberFormat="1" applyFont="1" applyBorder="1" applyProtection="1">
      <protection hidden="1"/>
    </xf>
    <xf numFmtId="42" fontId="7" fillId="2" borderId="18" xfId="3" applyNumberFormat="1" applyFont="1" applyFill="1" applyBorder="1" applyProtection="1">
      <protection hidden="1"/>
    </xf>
    <xf numFmtId="42" fontId="7" fillId="2" borderId="37" xfId="3" applyNumberFormat="1" applyFont="1" applyFill="1" applyBorder="1" applyProtection="1">
      <protection hidden="1"/>
    </xf>
    <xf numFmtId="3" fontId="7" fillId="6" borderId="79" xfId="3" applyNumberFormat="1" applyFont="1" applyFill="1" applyBorder="1" applyProtection="1">
      <protection locked="0"/>
    </xf>
    <xf numFmtId="3" fontId="7" fillId="6" borderId="71" xfId="3" applyNumberFormat="1" applyFont="1" applyFill="1" applyBorder="1" applyProtection="1">
      <protection locked="0"/>
    </xf>
    <xf numFmtId="3" fontId="7" fillId="6" borderId="31" xfId="3" applyNumberFormat="1" applyFont="1" applyFill="1" applyBorder="1" applyProtection="1">
      <protection locked="0"/>
    </xf>
    <xf numFmtId="3" fontId="7" fillId="6" borderId="22" xfId="3" applyNumberFormat="1" applyFont="1" applyFill="1" applyBorder="1" applyProtection="1">
      <protection locked="0"/>
    </xf>
    <xf numFmtId="3" fontId="7" fillId="6" borderId="31" xfId="0" applyNumberFormat="1" applyFont="1" applyFill="1" applyBorder="1" applyProtection="1">
      <protection locked="0"/>
    </xf>
    <xf numFmtId="3" fontId="7" fillId="6" borderId="22" xfId="0" applyNumberFormat="1" applyFont="1" applyFill="1" applyBorder="1" applyProtection="1">
      <protection locked="0"/>
    </xf>
    <xf numFmtId="3" fontId="7" fillId="6" borderId="32" xfId="3" applyNumberFormat="1" applyFont="1" applyFill="1" applyBorder="1" applyProtection="1">
      <protection locked="0"/>
    </xf>
    <xf numFmtId="3" fontId="7" fillId="6" borderId="24" xfId="3" applyNumberFormat="1" applyFont="1" applyFill="1" applyBorder="1" applyProtection="1">
      <protection locked="0"/>
    </xf>
    <xf numFmtId="172" fontId="7" fillId="6" borderId="79" xfId="0" applyNumberFormat="1" applyFont="1" applyFill="1" applyBorder="1" applyProtection="1">
      <protection locked="0"/>
    </xf>
    <xf numFmtId="172" fontId="7" fillId="6" borderId="31" xfId="0" applyNumberFormat="1" applyFont="1" applyFill="1" applyBorder="1" applyProtection="1">
      <protection locked="0"/>
    </xf>
    <xf numFmtId="172" fontId="7" fillId="6" borderId="32" xfId="0" applyNumberFormat="1" applyFont="1" applyFill="1" applyBorder="1" applyProtection="1">
      <protection locked="0"/>
    </xf>
    <xf numFmtId="172" fontId="7" fillId="6" borderId="16" xfId="0" applyNumberFormat="1" applyFont="1" applyFill="1" applyBorder="1" applyProtection="1">
      <protection locked="0"/>
    </xf>
    <xf numFmtId="172" fontId="7" fillId="6" borderId="2" xfId="0" applyNumberFormat="1" applyFont="1" applyFill="1" applyBorder="1" applyProtection="1">
      <protection locked="0"/>
    </xf>
    <xf numFmtId="172" fontId="7" fillId="6" borderId="64" xfId="0" applyNumberFormat="1" applyFont="1" applyFill="1" applyBorder="1" applyProtection="1">
      <protection locked="0"/>
    </xf>
    <xf numFmtId="172" fontId="7" fillId="0" borderId="52" xfId="0" applyNumberFormat="1" applyFont="1" applyBorder="1" applyProtection="1">
      <protection hidden="1"/>
    </xf>
    <xf numFmtId="172" fontId="7" fillId="0" borderId="53" xfId="0" applyNumberFormat="1" applyFont="1" applyBorder="1" applyProtection="1">
      <protection hidden="1"/>
    </xf>
    <xf numFmtId="172" fontId="7" fillId="0" borderId="54" xfId="0" applyNumberFormat="1" applyFont="1" applyBorder="1" applyProtection="1">
      <protection hidden="1"/>
    </xf>
    <xf numFmtId="9" fontId="7" fillId="11" borderId="71" xfId="57" applyFont="1" applyFill="1" applyBorder="1" applyProtection="1">
      <protection locked="0"/>
    </xf>
    <xf numFmtId="9" fontId="7" fillId="11" borderId="22" xfId="57" applyFont="1" applyFill="1" applyBorder="1" applyProtection="1">
      <protection locked="0"/>
    </xf>
    <xf numFmtId="0" fontId="63" fillId="11" borderId="23" xfId="0" applyFont="1" applyFill="1" applyBorder="1" applyProtection="1">
      <protection locked="0"/>
    </xf>
    <xf numFmtId="0" fontId="7" fillId="11" borderId="23" xfId="0" applyFont="1" applyFill="1" applyBorder="1" applyProtection="1">
      <protection locked="0"/>
    </xf>
    <xf numFmtId="9" fontId="7" fillId="11" borderId="24" xfId="57" applyFont="1" applyFill="1" applyBorder="1" applyProtection="1">
      <protection locked="0"/>
    </xf>
    <xf numFmtId="0" fontId="7" fillId="0" borderId="79" xfId="0" applyFont="1" applyBorder="1" applyProtection="1">
      <protection hidden="1"/>
    </xf>
    <xf numFmtId="42" fontId="7" fillId="0" borderId="71" xfId="3" applyNumberFormat="1" applyFont="1" applyBorder="1" applyProtection="1">
      <protection hidden="1"/>
    </xf>
    <xf numFmtId="0" fontId="7" fillId="0" borderId="31" xfId="0" applyFont="1" applyBorder="1" applyProtection="1">
      <protection hidden="1"/>
    </xf>
    <xf numFmtId="42" fontId="7" fillId="0" borderId="22" xfId="3" applyNumberFormat="1" applyFont="1" applyBorder="1" applyProtection="1">
      <protection hidden="1"/>
    </xf>
    <xf numFmtId="0" fontId="7" fillId="0" borderId="32" xfId="0" applyFont="1" applyBorder="1" applyProtection="1">
      <protection hidden="1"/>
    </xf>
    <xf numFmtId="42" fontId="7" fillId="0" borderId="23" xfId="3" applyNumberFormat="1" applyFont="1" applyBorder="1" applyProtection="1">
      <protection hidden="1"/>
    </xf>
    <xf numFmtId="42" fontId="7" fillId="0" borderId="24" xfId="3" applyNumberFormat="1" applyFont="1" applyBorder="1" applyProtection="1">
      <protection hidden="1"/>
    </xf>
    <xf numFmtId="0" fontId="19" fillId="0" borderId="38" xfId="52" applyFont="1" applyBorder="1" applyAlignment="1" applyProtection="1">
      <alignment horizontal="right"/>
      <protection hidden="1"/>
    </xf>
    <xf numFmtId="3" fontId="19" fillId="0" borderId="59" xfId="4" applyNumberFormat="1" applyFont="1" applyBorder="1" applyAlignment="1" applyProtection="1">
      <alignment horizontal="right" vertical="center" wrapText="1"/>
      <protection hidden="1"/>
    </xf>
    <xf numFmtId="4" fontId="19" fillId="0" borderId="59" xfId="4" applyNumberFormat="1" applyFont="1" applyBorder="1" applyAlignment="1" applyProtection="1">
      <alignment horizontal="right" vertical="center" wrapText="1"/>
      <protection hidden="1"/>
    </xf>
    <xf numFmtId="0" fontId="46" fillId="0" borderId="38" xfId="0" applyFont="1" applyBorder="1" applyAlignment="1" applyProtection="1">
      <alignment horizontal="right"/>
      <protection hidden="1"/>
    </xf>
    <xf numFmtId="169" fontId="46" fillId="0" borderId="59" xfId="0" applyNumberFormat="1" applyFont="1" applyBorder="1" applyAlignment="1" applyProtection="1">
      <alignment horizontal="right"/>
      <protection hidden="1"/>
    </xf>
    <xf numFmtId="0" fontId="46" fillId="0" borderId="51" xfId="0" applyFont="1" applyBorder="1" applyAlignment="1" applyProtection="1">
      <alignment horizontal="right"/>
      <protection hidden="1"/>
    </xf>
    <xf numFmtId="169" fontId="46" fillId="0" borderId="37" xfId="0" applyNumberFormat="1" applyFont="1" applyBorder="1" applyAlignment="1" applyProtection="1">
      <alignment horizontal="right"/>
      <protection hidden="1"/>
    </xf>
    <xf numFmtId="4" fontId="19" fillId="0" borderId="59" xfId="4" applyNumberFormat="1" applyFont="1" applyBorder="1" applyAlignment="1" applyProtection="1">
      <alignment horizontal="right" vertical="center"/>
      <protection hidden="1"/>
    </xf>
    <xf numFmtId="0" fontId="7" fillId="2" borderId="40" xfId="0" applyFont="1" applyFill="1" applyBorder="1" applyProtection="1">
      <protection hidden="1"/>
    </xf>
    <xf numFmtId="42" fontId="7" fillId="2" borderId="40" xfId="3" applyNumberFormat="1" applyFont="1" applyFill="1" applyBorder="1" applyProtection="1">
      <protection hidden="1"/>
    </xf>
    <xf numFmtId="0" fontId="7" fillId="0" borderId="79" xfId="0" applyFont="1" applyBorder="1" applyAlignment="1" applyProtection="1">
      <alignment horizontal="center"/>
      <protection hidden="1"/>
    </xf>
    <xf numFmtId="0" fontId="7" fillId="0" borderId="31" xfId="0" applyFont="1" applyBorder="1" applyAlignment="1" applyProtection="1">
      <alignment horizontal="center"/>
      <protection hidden="1"/>
    </xf>
    <xf numFmtId="0" fontId="7" fillId="0" borderId="32" xfId="0" applyFont="1" applyBorder="1" applyAlignment="1" applyProtection="1">
      <alignment horizontal="center"/>
      <protection hidden="1"/>
    </xf>
    <xf numFmtId="0" fontId="7" fillId="6" borderId="71" xfId="0" applyFont="1" applyFill="1" applyBorder="1" applyProtection="1">
      <protection locked="0"/>
    </xf>
    <xf numFmtId="0" fontId="7" fillId="6" borderId="22" xfId="0" applyFont="1" applyFill="1" applyBorder="1" applyProtection="1">
      <protection locked="0"/>
    </xf>
    <xf numFmtId="0" fontId="7" fillId="6" borderId="24" xfId="0" applyFont="1" applyFill="1" applyBorder="1" applyProtection="1">
      <protection locked="0"/>
    </xf>
    <xf numFmtId="3" fontId="19" fillId="0" borderId="59" xfId="4" applyNumberFormat="1" applyFont="1" applyBorder="1" applyAlignment="1" applyProtection="1">
      <alignment vertical="center" wrapText="1"/>
      <protection hidden="1"/>
    </xf>
    <xf numFmtId="4" fontId="19" fillId="0" borderId="59" xfId="4" applyNumberFormat="1" applyFont="1" applyBorder="1" applyAlignment="1" applyProtection="1">
      <alignment vertical="center" wrapText="1"/>
      <protection hidden="1"/>
    </xf>
    <xf numFmtId="169" fontId="46" fillId="0" borderId="59" xfId="0" applyNumberFormat="1" applyFont="1" applyBorder="1" applyProtection="1">
      <protection hidden="1"/>
    </xf>
    <xf numFmtId="169" fontId="46" fillId="0" borderId="37" xfId="0" applyNumberFormat="1" applyFont="1" applyBorder="1" applyProtection="1">
      <protection hidden="1"/>
    </xf>
    <xf numFmtId="4" fontId="19" fillId="0" borderId="59" xfId="4" applyNumberFormat="1" applyFont="1" applyBorder="1" applyAlignment="1" applyProtection="1">
      <alignment vertical="center"/>
      <protection hidden="1"/>
    </xf>
    <xf numFmtId="0" fontId="80" fillId="0" borderId="9" xfId="52" applyFont="1" applyBorder="1" applyAlignment="1" applyProtection="1">
      <alignment horizontal="center" vertical="center"/>
      <protection hidden="1"/>
    </xf>
    <xf numFmtId="3" fontId="80" fillId="0" borderId="9" xfId="52" applyNumberFormat="1" applyFont="1" applyBorder="1" applyAlignment="1" applyProtection="1">
      <alignment horizontal="center" vertical="center" wrapText="1"/>
      <protection hidden="1"/>
    </xf>
    <xf numFmtId="171" fontId="80" fillId="0" borderId="9" xfId="52" applyNumberFormat="1" applyFont="1" applyBorder="1" applyAlignment="1" applyProtection="1">
      <alignment horizontal="center" vertical="center" wrapText="1"/>
      <protection hidden="1"/>
    </xf>
    <xf numFmtId="170" fontId="80" fillId="0" borderId="9" xfId="52" applyNumberFormat="1" applyFont="1" applyBorder="1" applyAlignment="1" applyProtection="1">
      <alignment horizontal="center" vertical="center" wrapText="1"/>
      <protection hidden="1"/>
    </xf>
    <xf numFmtId="0" fontId="79" fillId="17" borderId="19" xfId="52" applyFont="1" applyFill="1" applyBorder="1" applyAlignment="1" applyProtection="1">
      <alignment horizontal="center" vertical="center"/>
      <protection hidden="1"/>
    </xf>
    <xf numFmtId="164" fontId="80" fillId="0" borderId="9" xfId="29" applyNumberFormat="1" applyFont="1" applyBorder="1" applyAlignment="1" applyProtection="1">
      <alignment horizontal="center"/>
      <protection hidden="1"/>
    </xf>
    <xf numFmtId="0" fontId="79" fillId="17" borderId="18" xfId="52" applyFont="1" applyFill="1" applyBorder="1" applyAlignment="1" applyProtection="1">
      <alignment horizontal="center" vertical="center"/>
      <protection hidden="1"/>
    </xf>
    <xf numFmtId="3" fontId="80" fillId="0" borderId="103" xfId="52" applyNumberFormat="1" applyFont="1" applyBorder="1" applyAlignment="1" applyProtection="1">
      <alignment horizontal="center" vertical="center" wrapText="1"/>
      <protection hidden="1"/>
    </xf>
    <xf numFmtId="0" fontId="80" fillId="0" borderId="30" xfId="52" applyFont="1" applyBorder="1" applyAlignment="1" applyProtection="1">
      <alignment horizontal="center" vertical="center"/>
      <protection hidden="1"/>
    </xf>
    <xf numFmtId="3" fontId="80" fillId="0" borderId="20" xfId="52" applyNumberFormat="1" applyFont="1" applyBorder="1" applyAlignment="1" applyProtection="1">
      <alignment horizontal="center" vertical="center" wrapText="1"/>
      <protection hidden="1"/>
    </xf>
    <xf numFmtId="171" fontId="80" fillId="0" borderId="20" xfId="52" applyNumberFormat="1" applyFont="1" applyBorder="1" applyAlignment="1" applyProtection="1">
      <alignment horizontal="center" vertical="center" wrapText="1"/>
      <protection hidden="1"/>
    </xf>
    <xf numFmtId="170" fontId="80" fillId="0" borderId="20" xfId="52" applyNumberFormat="1" applyFont="1" applyBorder="1" applyAlignment="1" applyProtection="1">
      <alignment horizontal="center" vertical="center" wrapText="1"/>
      <protection hidden="1"/>
    </xf>
    <xf numFmtId="170" fontId="80" fillId="0" borderId="21" xfId="52" applyNumberFormat="1" applyFont="1" applyBorder="1" applyAlignment="1" applyProtection="1">
      <alignment horizontal="center" vertical="center" wrapText="1"/>
      <protection hidden="1"/>
    </xf>
    <xf numFmtId="0" fontId="80" fillId="0" borderId="31" xfId="52" applyFont="1" applyBorder="1" applyAlignment="1" applyProtection="1">
      <alignment horizontal="center" vertical="center"/>
      <protection hidden="1"/>
    </xf>
    <xf numFmtId="170" fontId="80" fillId="0" borderId="22" xfId="52" applyNumberFormat="1" applyFont="1" applyBorder="1" applyAlignment="1" applyProtection="1">
      <alignment horizontal="center" vertical="center" wrapText="1"/>
      <protection hidden="1"/>
    </xf>
    <xf numFmtId="171" fontId="80" fillId="0" borderId="22" xfId="52" applyNumberFormat="1" applyFont="1" applyBorder="1" applyAlignment="1" applyProtection="1">
      <alignment horizontal="center" vertical="center" wrapText="1"/>
      <protection hidden="1"/>
    </xf>
    <xf numFmtId="0" fontId="80" fillId="0" borderId="69" xfId="52" applyFont="1" applyBorder="1" applyAlignment="1" applyProtection="1">
      <alignment horizontal="center" vertical="center"/>
      <protection hidden="1"/>
    </xf>
    <xf numFmtId="171" fontId="80" fillId="0" borderId="70" xfId="52" applyNumberFormat="1" applyFont="1" applyBorder="1" applyAlignment="1" applyProtection="1">
      <alignment horizontal="center" vertical="center" wrapText="1"/>
      <protection hidden="1"/>
    </xf>
    <xf numFmtId="0" fontId="80" fillId="0" borderId="32" xfId="52" applyFont="1" applyBorder="1" applyAlignment="1" applyProtection="1">
      <alignment horizontal="center" vertical="center"/>
      <protection hidden="1"/>
    </xf>
    <xf numFmtId="3" fontId="80" fillId="0" borderId="23" xfId="52" applyNumberFormat="1" applyFont="1" applyBorder="1" applyAlignment="1" applyProtection="1">
      <alignment horizontal="center" vertical="center" wrapText="1"/>
      <protection hidden="1"/>
    </xf>
    <xf numFmtId="171" fontId="80" fillId="0" borderId="23" xfId="52" applyNumberFormat="1" applyFont="1" applyBorder="1" applyAlignment="1" applyProtection="1">
      <alignment horizontal="center" vertical="center" wrapText="1"/>
      <protection hidden="1"/>
    </xf>
    <xf numFmtId="171" fontId="80" fillId="0" borderId="24" xfId="52" applyNumberFormat="1" applyFont="1" applyBorder="1" applyAlignment="1" applyProtection="1">
      <alignment horizontal="center" vertical="center" wrapText="1"/>
      <protection hidden="1"/>
    </xf>
    <xf numFmtId="1" fontId="80" fillId="0" borderId="0" xfId="52" applyNumberFormat="1" applyFont="1" applyAlignment="1" applyProtection="1">
      <alignment horizontal="center" vertical="center" wrapText="1"/>
      <protection hidden="1"/>
    </xf>
    <xf numFmtId="171" fontId="80" fillId="0" borderId="30" xfId="52" applyNumberFormat="1" applyFont="1" applyBorder="1" applyAlignment="1" applyProtection="1">
      <alignment horizontal="center" vertical="center" wrapText="1"/>
      <protection hidden="1"/>
    </xf>
    <xf numFmtId="164" fontId="80" fillId="0" borderId="21" xfId="29" applyNumberFormat="1" applyFont="1" applyBorder="1" applyAlignment="1" applyProtection="1">
      <alignment horizontal="center"/>
      <protection hidden="1"/>
    </xf>
    <xf numFmtId="171" fontId="80" fillId="0" borderId="31" xfId="52" applyNumberFormat="1" applyFont="1" applyBorder="1" applyAlignment="1" applyProtection="1">
      <alignment horizontal="center" vertical="center" wrapText="1"/>
      <protection hidden="1"/>
    </xf>
    <xf numFmtId="164" fontId="80" fillId="0" borderId="22" xfId="29" applyNumberFormat="1" applyFont="1" applyBorder="1" applyAlignment="1" applyProtection="1">
      <alignment horizontal="center"/>
      <protection hidden="1"/>
    </xf>
    <xf numFmtId="164" fontId="80" fillId="0" borderId="22" xfId="29" applyNumberFormat="1" applyFont="1" applyBorder="1" applyAlignment="1" applyProtection="1">
      <alignment horizontal="center" vertical="center" wrapText="1"/>
      <protection hidden="1"/>
    </xf>
    <xf numFmtId="164" fontId="80" fillId="0" borderId="70" xfId="29" applyNumberFormat="1" applyFont="1" applyBorder="1" applyAlignment="1" applyProtection="1">
      <alignment horizontal="center"/>
      <protection hidden="1"/>
    </xf>
    <xf numFmtId="171" fontId="80" fillId="0" borderId="32" xfId="52" applyNumberFormat="1" applyFont="1" applyBorder="1" applyAlignment="1" applyProtection="1">
      <alignment horizontal="center" vertical="center" wrapText="1"/>
      <protection hidden="1"/>
    </xf>
    <xf numFmtId="170" fontId="80" fillId="0" borderId="23" xfId="52" applyNumberFormat="1" applyFont="1" applyBorder="1" applyAlignment="1" applyProtection="1">
      <alignment horizontal="center" vertical="center" wrapText="1"/>
      <protection hidden="1"/>
    </xf>
    <xf numFmtId="164" fontId="80" fillId="0" borderId="24" xfId="29" applyNumberFormat="1" applyFont="1" applyBorder="1" applyAlignment="1" applyProtection="1">
      <alignment horizontal="center"/>
      <protection hidden="1"/>
    </xf>
    <xf numFmtId="0" fontId="80" fillId="0" borderId="79" xfId="52" applyFont="1" applyBorder="1" applyAlignment="1" applyProtection="1">
      <alignment horizontal="center" vertical="center"/>
      <protection hidden="1"/>
    </xf>
    <xf numFmtId="170" fontId="80" fillId="0" borderId="71" xfId="52" applyNumberFormat="1" applyFont="1" applyBorder="1" applyAlignment="1" applyProtection="1">
      <alignment horizontal="center" vertical="center" wrapText="1"/>
      <protection hidden="1"/>
    </xf>
    <xf numFmtId="171" fontId="80" fillId="0" borderId="79" xfId="52" applyNumberFormat="1" applyFont="1" applyBorder="1" applyAlignment="1" applyProtection="1">
      <alignment horizontal="center" vertical="center" wrapText="1"/>
      <protection hidden="1"/>
    </xf>
    <xf numFmtId="164" fontId="80" fillId="0" borderId="71" xfId="29" applyNumberFormat="1" applyFont="1" applyBorder="1" applyAlignment="1" applyProtection="1">
      <alignment horizontal="center"/>
      <protection hidden="1"/>
    </xf>
    <xf numFmtId="170" fontId="80" fillId="0" borderId="24" xfId="52" applyNumberFormat="1" applyFont="1" applyBorder="1" applyAlignment="1" applyProtection="1">
      <alignment horizontal="center" vertical="center" wrapText="1"/>
      <protection hidden="1"/>
    </xf>
    <xf numFmtId="171" fontId="80" fillId="0" borderId="71" xfId="52" applyNumberFormat="1" applyFont="1" applyBorder="1" applyAlignment="1" applyProtection="1">
      <alignment horizontal="center" vertical="center" wrapText="1"/>
      <protection hidden="1"/>
    </xf>
    <xf numFmtId="0" fontId="4" fillId="17" borderId="107" xfId="52" applyFont="1" applyFill="1" applyBorder="1" applyProtection="1">
      <protection hidden="1"/>
    </xf>
    <xf numFmtId="0" fontId="61" fillId="0" borderId="107" xfId="0" applyFont="1" applyBorder="1" applyAlignment="1" applyProtection="1">
      <alignment vertical="center"/>
      <protection hidden="1"/>
    </xf>
    <xf numFmtId="0" fontId="85" fillId="0" borderId="107" xfId="0" applyFont="1" applyBorder="1" applyProtection="1">
      <protection hidden="1"/>
    </xf>
    <xf numFmtId="0" fontId="85" fillId="15" borderId="107" xfId="0" applyFont="1" applyFill="1" applyBorder="1" applyProtection="1">
      <protection hidden="1"/>
    </xf>
    <xf numFmtId="0" fontId="4" fillId="0" borderId="107" xfId="52" applyFont="1" applyBorder="1" applyProtection="1">
      <protection hidden="1"/>
    </xf>
    <xf numFmtId="0" fontId="42" fillId="17" borderId="107" xfId="0" applyFont="1" applyFill="1" applyBorder="1" applyProtection="1">
      <protection hidden="1"/>
    </xf>
    <xf numFmtId="0" fontId="59" fillId="17" borderId="107" xfId="0" applyFont="1" applyFill="1" applyBorder="1" applyAlignment="1" applyProtection="1">
      <alignment vertical="center"/>
      <protection hidden="1"/>
    </xf>
    <xf numFmtId="0" fontId="59" fillId="0" borderId="107" xfId="0" applyFont="1" applyBorder="1" applyAlignment="1" applyProtection="1">
      <alignment vertical="center"/>
      <protection hidden="1"/>
    </xf>
    <xf numFmtId="0" fontId="21" fillId="0" borderId="107" xfId="0" applyFont="1" applyBorder="1" applyAlignment="1" applyProtection="1">
      <alignment vertical="center"/>
      <protection hidden="1"/>
    </xf>
    <xf numFmtId="0" fontId="56" fillId="0" borderId="107" xfId="0" applyFont="1" applyBorder="1" applyAlignment="1" applyProtection="1">
      <alignment vertical="center"/>
      <protection hidden="1"/>
    </xf>
    <xf numFmtId="0" fontId="56" fillId="7" borderId="107" xfId="0" applyFont="1" applyFill="1" applyBorder="1" applyAlignment="1" applyProtection="1">
      <alignment vertical="center"/>
      <protection hidden="1"/>
    </xf>
    <xf numFmtId="0" fontId="42" fillId="14" borderId="107" xfId="0" applyFont="1" applyFill="1" applyBorder="1" applyProtection="1">
      <protection hidden="1"/>
    </xf>
    <xf numFmtId="0" fontId="21" fillId="14" borderId="107" xfId="0" applyFont="1" applyFill="1" applyBorder="1" applyAlignment="1" applyProtection="1">
      <alignment vertical="center"/>
      <protection hidden="1"/>
    </xf>
    <xf numFmtId="0" fontId="56" fillId="16" borderId="107" xfId="0" applyFont="1" applyFill="1" applyBorder="1" applyAlignment="1" applyProtection="1">
      <alignment vertical="center"/>
      <protection hidden="1"/>
    </xf>
    <xf numFmtId="0" fontId="42" fillId="15" borderId="107" xfId="0" applyFont="1" applyFill="1" applyBorder="1" applyProtection="1">
      <protection hidden="1"/>
    </xf>
    <xf numFmtId="0" fontId="85" fillId="17" borderId="107" xfId="0" applyFont="1" applyFill="1" applyBorder="1" applyProtection="1">
      <protection hidden="1"/>
    </xf>
    <xf numFmtId="0" fontId="85" fillId="14" borderId="107" xfId="0" applyFont="1" applyFill="1" applyBorder="1" applyProtection="1">
      <protection hidden="1"/>
    </xf>
    <xf numFmtId="0" fontId="51" fillId="0" borderId="107" xfId="0" applyFont="1" applyBorder="1" applyProtection="1">
      <protection hidden="1"/>
    </xf>
    <xf numFmtId="0" fontId="87" fillId="17" borderId="107" xfId="0" applyFont="1" applyFill="1" applyBorder="1" applyAlignment="1" applyProtection="1">
      <alignment vertical="center"/>
      <protection hidden="1"/>
    </xf>
    <xf numFmtId="0" fontId="93" fillId="17" borderId="107" xfId="0" applyFont="1" applyFill="1" applyBorder="1" applyAlignment="1" applyProtection="1">
      <alignment vertical="center"/>
      <protection hidden="1"/>
    </xf>
    <xf numFmtId="0" fontId="86" fillId="17" borderId="107" xfId="0" applyFont="1" applyFill="1" applyBorder="1" applyAlignment="1" applyProtection="1">
      <alignment vertical="center"/>
      <protection hidden="1"/>
    </xf>
    <xf numFmtId="0" fontId="86" fillId="0" borderId="107" xfId="0" applyFont="1" applyBorder="1" applyAlignment="1" applyProtection="1">
      <alignment vertical="center"/>
      <protection hidden="1"/>
    </xf>
    <xf numFmtId="0" fontId="87" fillId="0" borderId="107" xfId="0" applyFont="1" applyBorder="1" applyAlignment="1" applyProtection="1">
      <alignment vertical="center"/>
      <protection hidden="1"/>
    </xf>
    <xf numFmtId="0" fontId="93" fillId="0" borderId="107" xfId="0" applyFont="1" applyBorder="1" applyAlignment="1" applyProtection="1">
      <alignment vertical="center"/>
      <protection hidden="1"/>
    </xf>
    <xf numFmtId="0" fontId="86" fillId="14" borderId="107" xfId="0" applyFont="1" applyFill="1" applyBorder="1" applyAlignment="1" applyProtection="1">
      <alignment vertical="center"/>
      <protection hidden="1"/>
    </xf>
    <xf numFmtId="0" fontId="61" fillId="10" borderId="107" xfId="0" applyFont="1" applyFill="1" applyBorder="1" applyAlignment="1">
      <alignment vertical="center"/>
    </xf>
    <xf numFmtId="49" fontId="3" fillId="9" borderId="107" xfId="0" applyNumberFormat="1" applyFont="1" applyFill="1" applyBorder="1"/>
    <xf numFmtId="0" fontId="59" fillId="14" borderId="107" xfId="0" applyFont="1" applyFill="1" applyBorder="1" applyAlignment="1" applyProtection="1">
      <alignment horizontal="center" vertical="center"/>
      <protection hidden="1"/>
    </xf>
    <xf numFmtId="0" fontId="59" fillId="14" borderId="107" xfId="0" applyFont="1" applyFill="1" applyBorder="1" applyAlignment="1" applyProtection="1">
      <alignment vertical="center"/>
      <protection hidden="1"/>
    </xf>
    <xf numFmtId="0" fontId="42" fillId="0" borderId="107" xfId="0" applyFont="1" applyBorder="1" applyProtection="1">
      <protection hidden="1"/>
    </xf>
    <xf numFmtId="0" fontId="44" fillId="14" borderId="0" xfId="0" applyFont="1" applyFill="1" applyAlignment="1" applyProtection="1">
      <alignment vertical="center"/>
      <protection hidden="1"/>
    </xf>
    <xf numFmtId="0" fontId="66" fillId="0" borderId="107" xfId="0" applyFont="1" applyBorder="1" applyAlignment="1" applyProtection="1">
      <alignment vertical="center"/>
      <protection hidden="1"/>
    </xf>
    <xf numFmtId="0" fontId="67" fillId="0" borderId="107" xfId="0" applyFont="1" applyBorder="1" applyAlignment="1" applyProtection="1">
      <alignment vertical="center"/>
      <protection hidden="1"/>
    </xf>
    <xf numFmtId="0" fontId="73" fillId="0" borderId="107" xfId="0" applyFont="1" applyBorder="1" applyAlignment="1" applyProtection="1">
      <alignment vertical="center"/>
      <protection hidden="1"/>
    </xf>
    <xf numFmtId="0" fontId="0" fillId="0" borderId="107" xfId="0" applyBorder="1" applyProtection="1">
      <protection hidden="1"/>
    </xf>
    <xf numFmtId="0" fontId="61" fillId="14" borderId="107" xfId="0" applyFont="1" applyFill="1" applyBorder="1" applyAlignment="1" applyProtection="1">
      <alignment vertical="center"/>
      <protection hidden="1"/>
    </xf>
    <xf numFmtId="0" fontId="100" fillId="0" borderId="109" xfId="0" applyFont="1" applyBorder="1" applyAlignment="1" applyProtection="1">
      <alignment vertical="center"/>
      <protection hidden="1"/>
    </xf>
    <xf numFmtId="0" fontId="50" fillId="0" borderId="109" xfId="0" applyFont="1" applyBorder="1" applyAlignment="1" applyProtection="1">
      <alignment vertical="center"/>
      <protection hidden="1"/>
    </xf>
    <xf numFmtId="0" fontId="42" fillId="0" borderId="109" xfId="0" applyFont="1" applyBorder="1" applyProtection="1">
      <protection hidden="1"/>
    </xf>
    <xf numFmtId="0" fontId="101" fillId="0" borderId="109" xfId="0" applyFont="1" applyBorder="1" applyProtection="1">
      <protection hidden="1"/>
    </xf>
    <xf numFmtId="49" fontId="3" fillId="17" borderId="0" xfId="0" applyNumberFormat="1" applyFont="1" applyFill="1"/>
    <xf numFmtId="0" fontId="38" fillId="20" borderId="41" xfId="0" applyFont="1" applyFill="1" applyBorder="1"/>
    <xf numFmtId="0" fontId="52" fillId="17" borderId="44" xfId="0" applyFont="1" applyFill="1" applyBorder="1" applyAlignment="1" applyProtection="1">
      <alignment horizontal="center" wrapText="1"/>
      <protection hidden="1"/>
    </xf>
    <xf numFmtId="0" fontId="52" fillId="17" borderId="39" xfId="0" applyFont="1" applyFill="1" applyBorder="1" applyAlignment="1" applyProtection="1">
      <alignment horizontal="center" wrapText="1"/>
      <protection hidden="1"/>
    </xf>
    <xf numFmtId="0" fontId="52" fillId="17" borderId="40" xfId="0" applyFont="1" applyFill="1" applyBorder="1" applyAlignment="1" applyProtection="1">
      <alignment horizontal="center" wrapText="1"/>
      <protection hidden="1"/>
    </xf>
    <xf numFmtId="0" fontId="49" fillId="17" borderId="60" xfId="52" applyFont="1" applyFill="1" applyBorder="1" applyAlignment="1" applyProtection="1">
      <alignment vertical="center" wrapText="1"/>
      <protection hidden="1"/>
    </xf>
    <xf numFmtId="0" fontId="49" fillId="17" borderId="0" xfId="52" applyFont="1" applyFill="1" applyAlignment="1" applyProtection="1">
      <alignment vertical="center" wrapText="1"/>
      <protection hidden="1"/>
    </xf>
    <xf numFmtId="164" fontId="0" fillId="6" borderId="68" xfId="29" applyNumberFormat="1" applyFont="1" applyFill="1" applyBorder="1"/>
    <xf numFmtId="164" fontId="0" fillId="6" borderId="75" xfId="29" applyNumberFormat="1" applyFont="1" applyFill="1" applyBorder="1"/>
    <xf numFmtId="164" fontId="0" fillId="6" borderId="76" xfId="29" applyNumberFormat="1" applyFont="1" applyFill="1" applyBorder="1"/>
    <xf numFmtId="9" fontId="38" fillId="20" borderId="35" xfId="65" applyFont="1" applyFill="1" applyBorder="1"/>
    <xf numFmtId="176" fontId="0" fillId="0" borderId="52" xfId="21" applyNumberFormat="1" applyFont="1" applyBorder="1"/>
    <xf numFmtId="9" fontId="0" fillId="0" borderId="68" xfId="65" applyFont="1" applyBorder="1"/>
    <xf numFmtId="176" fontId="0" fillId="0" borderId="53" xfId="21" applyNumberFormat="1" applyFont="1" applyBorder="1"/>
    <xf numFmtId="9" fontId="0" fillId="0" borderId="75" xfId="65" applyFont="1" applyBorder="1"/>
    <xf numFmtId="176" fontId="0" fillId="0" borderId="54" xfId="21" applyNumberFormat="1" applyFont="1" applyBorder="1"/>
    <xf numFmtId="9" fontId="0" fillId="0" borderId="76" xfId="65" applyFont="1" applyBorder="1"/>
    <xf numFmtId="4" fontId="53" fillId="6" borderId="30" xfId="0" applyNumberFormat="1" applyFont="1" applyFill="1" applyBorder="1" applyAlignment="1" applyProtection="1">
      <alignment horizontal="center" vertical="center"/>
      <protection hidden="1"/>
    </xf>
    <xf numFmtId="4" fontId="53" fillId="6" borderId="31" xfId="0" applyNumberFormat="1" applyFont="1" applyFill="1" applyBorder="1" applyAlignment="1" applyProtection="1">
      <alignment horizontal="center"/>
      <protection hidden="1"/>
    </xf>
    <xf numFmtId="4" fontId="53" fillId="6" borderId="32" xfId="0" applyNumberFormat="1" applyFont="1" applyFill="1" applyBorder="1" applyAlignment="1" applyProtection="1">
      <alignment horizontal="center"/>
      <protection hidden="1"/>
    </xf>
    <xf numFmtId="164" fontId="3" fillId="0" borderId="53" xfId="29" applyNumberFormat="1" applyFont="1" applyBorder="1" applyAlignment="1" applyProtection="1">
      <alignment horizontal="right"/>
      <protection hidden="1"/>
    </xf>
    <xf numFmtId="164" fontId="3" fillId="0" borderId="54" xfId="29" applyNumberFormat="1" applyFont="1" applyBorder="1" applyAlignment="1" applyProtection="1">
      <alignment horizontal="right"/>
      <protection hidden="1"/>
    </xf>
    <xf numFmtId="0" fontId="131" fillId="0" borderId="0" xfId="0" applyFont="1" applyProtection="1">
      <protection locked="0"/>
    </xf>
    <xf numFmtId="43" fontId="123" fillId="0" borderId="1" xfId="3" applyFont="1" applyBorder="1" applyAlignment="1">
      <alignment horizontal="left" vertical="center"/>
    </xf>
    <xf numFmtId="49" fontId="3" fillId="0" borderId="0" xfId="0" applyNumberFormat="1" applyFont="1" applyAlignment="1">
      <alignment horizontal="left"/>
    </xf>
    <xf numFmtId="49" fontId="19" fillId="0" borderId="0" xfId="0" applyNumberFormat="1" applyFont="1" applyAlignment="1">
      <alignment horizontal="left"/>
    </xf>
    <xf numFmtId="49" fontId="3" fillId="0" borderId="0" xfId="0" applyNumberFormat="1" applyFont="1" applyAlignment="1">
      <alignment horizontal="left" vertical="top" wrapText="1"/>
    </xf>
    <xf numFmtId="49" fontId="3" fillId="0" borderId="0" xfId="0" applyNumberFormat="1" applyFont="1" applyAlignment="1">
      <alignment horizontal="left" vertical="center" wrapText="1"/>
    </xf>
    <xf numFmtId="0" fontId="3" fillId="0" borderId="0" xfId="0" applyFont="1" applyAlignment="1">
      <alignment horizontal="left" vertical="top" wrapText="1"/>
    </xf>
    <xf numFmtId="0" fontId="53" fillId="0" borderId="0" xfId="0" applyFont="1" applyAlignment="1" applyProtection="1">
      <alignment horizontal="left" vertical="top"/>
      <protection hidden="1"/>
    </xf>
    <xf numFmtId="173" fontId="60" fillId="6" borderId="3" xfId="0" applyNumberFormat="1" applyFont="1" applyFill="1" applyBorder="1" applyAlignment="1" applyProtection="1">
      <alignment horizontal="left"/>
      <protection locked="0"/>
    </xf>
    <xf numFmtId="0" fontId="53" fillId="0" borderId="0" xfId="0" applyFont="1" applyAlignment="1" applyProtection="1">
      <alignment horizontal="right"/>
      <protection hidden="1"/>
    </xf>
    <xf numFmtId="0" fontId="58" fillId="17" borderId="0" xfId="0" applyFont="1" applyFill="1" applyAlignment="1" applyProtection="1">
      <alignment horizontal="left" vertical="center"/>
      <protection hidden="1"/>
    </xf>
    <xf numFmtId="0" fontId="25" fillId="0" borderId="0" xfId="0" applyFont="1" applyAlignment="1" applyProtection="1">
      <alignment horizontal="left" vertical="top" wrapText="1"/>
      <protection hidden="1"/>
    </xf>
    <xf numFmtId="0" fontId="25" fillId="0" borderId="0" xfId="0" applyFont="1" applyAlignment="1" applyProtection="1">
      <alignment horizontal="left" vertical="top"/>
      <protection hidden="1"/>
    </xf>
    <xf numFmtId="0" fontId="53" fillId="0" borderId="0" xfId="0" applyFont="1" applyAlignment="1" applyProtection="1">
      <alignment horizontal="center" wrapText="1"/>
      <protection hidden="1"/>
    </xf>
    <xf numFmtId="0" fontId="53" fillId="0" borderId="0" xfId="0" applyFont="1" applyAlignment="1" applyProtection="1">
      <alignment horizontal="center"/>
      <protection hidden="1"/>
    </xf>
    <xf numFmtId="0" fontId="60" fillId="6" borderId="8" xfId="0" applyFont="1" applyFill="1" applyBorder="1" applyAlignment="1" applyProtection="1">
      <alignment horizontal="center"/>
      <protection locked="0"/>
    </xf>
    <xf numFmtId="44" fontId="60" fillId="0" borderId="8" xfId="29" applyFont="1" applyFill="1" applyBorder="1" applyAlignment="1" applyProtection="1">
      <alignment horizontal="left"/>
      <protection hidden="1"/>
    </xf>
    <xf numFmtId="0" fontId="53" fillId="0" borderId="0" xfId="0" applyFont="1" applyAlignment="1" applyProtection="1">
      <alignment horizontal="left"/>
      <protection hidden="1"/>
    </xf>
    <xf numFmtId="0" fontId="39" fillId="6" borderId="3" xfId="49" applyFill="1" applyBorder="1" applyAlignment="1" applyProtection="1">
      <alignment horizontal="left"/>
      <protection locked="0"/>
    </xf>
    <xf numFmtId="0" fontId="60" fillId="6" borderId="3" xfId="0" applyFont="1" applyFill="1" applyBorder="1" applyAlignment="1" applyProtection="1">
      <alignment horizontal="left"/>
      <protection locked="0"/>
    </xf>
    <xf numFmtId="0" fontId="100" fillId="0" borderId="109" xfId="0" applyFont="1" applyBorder="1" applyAlignment="1" applyProtection="1">
      <alignment horizontal="left"/>
      <protection hidden="1"/>
    </xf>
    <xf numFmtId="0" fontId="60" fillId="6" borderId="8" xfId="0" applyFont="1" applyFill="1" applyBorder="1" applyAlignment="1" applyProtection="1">
      <alignment horizontal="left"/>
      <protection locked="0"/>
    </xf>
    <xf numFmtId="0" fontId="44" fillId="14" borderId="0" xfId="0" applyFont="1" applyFill="1" applyAlignment="1" applyProtection="1">
      <alignment horizontal="center" vertical="center"/>
      <protection hidden="1"/>
    </xf>
    <xf numFmtId="173" fontId="60" fillId="6" borderId="8" xfId="0" applyNumberFormat="1" applyFont="1" applyFill="1" applyBorder="1" applyAlignment="1" applyProtection="1">
      <alignment horizontal="left"/>
      <protection locked="0"/>
    </xf>
    <xf numFmtId="44" fontId="60" fillId="6" borderId="8" xfId="0" applyNumberFormat="1" applyFont="1" applyFill="1" applyBorder="1" applyProtection="1">
      <protection locked="0"/>
    </xf>
    <xf numFmtId="0" fontId="53" fillId="0" borderId="0" xfId="0" applyFont="1" applyAlignment="1" applyProtection="1">
      <alignment horizontal="center" vertical="center" wrapText="1"/>
      <protection locked="0"/>
    </xf>
    <xf numFmtId="0" fontId="53" fillId="0" borderId="0" xfId="0" applyFont="1" applyAlignment="1" applyProtection="1">
      <alignment horizontal="left" vertical="center" wrapText="1"/>
      <protection hidden="1"/>
    </xf>
    <xf numFmtId="14" fontId="60" fillId="6" borderId="8" xfId="0" applyNumberFormat="1" applyFont="1" applyFill="1" applyBorder="1" applyProtection="1">
      <protection locked="0"/>
    </xf>
    <xf numFmtId="0" fontId="60" fillId="6" borderId="8" xfId="0" applyFont="1" applyFill="1" applyBorder="1" applyProtection="1">
      <protection locked="0"/>
    </xf>
    <xf numFmtId="0" fontId="81" fillId="0" borderId="0" xfId="0" applyFont="1" applyAlignment="1" applyProtection="1">
      <alignment horizontal="center" wrapText="1"/>
      <protection hidden="1"/>
    </xf>
    <xf numFmtId="0" fontId="53" fillId="0" borderId="0" xfId="0" applyFont="1" applyAlignment="1" applyProtection="1">
      <alignment horizontal="left" vertical="center"/>
      <protection hidden="1"/>
    </xf>
    <xf numFmtId="0" fontId="60" fillId="6" borderId="8" xfId="0" applyFont="1" applyFill="1" applyBorder="1" applyAlignment="1" applyProtection="1">
      <alignment horizontal="center"/>
      <protection locked="0" hidden="1"/>
    </xf>
    <xf numFmtId="0" fontId="53" fillId="0" borderId="0" xfId="0" applyFont="1" applyAlignment="1" applyProtection="1">
      <alignment horizontal="right" wrapText="1"/>
      <protection hidden="1"/>
    </xf>
    <xf numFmtId="0" fontId="60" fillId="6" borderId="3" xfId="0" applyFont="1" applyFill="1" applyBorder="1" applyAlignment="1" applyProtection="1">
      <alignment horizontal="center"/>
      <protection locked="0" hidden="1"/>
    </xf>
    <xf numFmtId="0" fontId="53" fillId="0" borderId="14" xfId="0" applyFont="1" applyBorder="1" applyAlignment="1" applyProtection="1">
      <alignment horizontal="right"/>
      <protection hidden="1"/>
    </xf>
    <xf numFmtId="0" fontId="57" fillId="0" borderId="8" xfId="0" applyFont="1" applyBorder="1" applyAlignment="1" applyProtection="1">
      <alignment horizontal="center" vertical="center" wrapText="1"/>
      <protection hidden="1"/>
    </xf>
    <xf numFmtId="0" fontId="100" fillId="0" borderId="108" xfId="0" applyFont="1" applyBorder="1" applyAlignment="1" applyProtection="1">
      <alignment horizontal="left"/>
      <protection hidden="1"/>
    </xf>
    <xf numFmtId="0" fontId="71" fillId="0" borderId="0" xfId="0" applyFont="1" applyAlignment="1" applyProtection="1">
      <alignment horizontal="left" vertical="top" wrapText="1"/>
      <protection hidden="1"/>
    </xf>
    <xf numFmtId="0" fontId="12" fillId="0" borderId="0" xfId="0" applyFont="1" applyAlignment="1" applyProtection="1">
      <alignment horizontal="left" vertical="top" wrapText="1"/>
      <protection hidden="1"/>
    </xf>
    <xf numFmtId="0" fontId="12" fillId="0" borderId="0" xfId="0" applyFont="1" applyAlignment="1" applyProtection="1">
      <alignment horizontal="left" vertical="top"/>
      <protection hidden="1"/>
    </xf>
    <xf numFmtId="0" fontId="67" fillId="0" borderId="107" xfId="0" applyFont="1" applyBorder="1" applyAlignment="1" applyProtection="1">
      <alignment horizontal="left" vertical="center"/>
      <protection hidden="1"/>
    </xf>
    <xf numFmtId="0" fontId="58" fillId="17" borderId="0" xfId="0" applyFont="1" applyFill="1" applyAlignment="1" applyProtection="1">
      <alignment vertical="center"/>
      <protection hidden="1"/>
    </xf>
    <xf numFmtId="0" fontId="59" fillId="17" borderId="107" xfId="0" applyFont="1" applyFill="1" applyBorder="1" applyAlignment="1" applyProtection="1">
      <alignment horizontal="left" vertical="center"/>
      <protection hidden="1"/>
    </xf>
    <xf numFmtId="0" fontId="39" fillId="0" borderId="0" xfId="49" applyFill="1" applyBorder="1" applyAlignment="1" applyProtection="1">
      <alignment horizontal="left" vertical="top" wrapText="1"/>
      <protection hidden="1"/>
    </xf>
    <xf numFmtId="0" fontId="42" fillId="0" borderId="0" xfId="0" applyFont="1" applyAlignment="1" applyProtection="1">
      <alignment horizontal="left" vertical="top"/>
      <protection hidden="1"/>
    </xf>
    <xf numFmtId="0" fontId="4" fillId="0" borderId="0" xfId="0" applyFont="1" applyAlignment="1" applyProtection="1">
      <alignment horizontal="left" vertical="top" wrapText="1"/>
      <protection hidden="1"/>
    </xf>
    <xf numFmtId="0" fontId="67" fillId="0" borderId="0" xfId="0" applyFont="1" applyAlignment="1" applyProtection="1">
      <alignment horizontal="center" vertical="center"/>
      <protection hidden="1"/>
    </xf>
    <xf numFmtId="0" fontId="100" fillId="0" borderId="109" xfId="0" applyFont="1" applyBorder="1" applyAlignment="1" applyProtection="1">
      <alignment horizontal="left" vertical="center"/>
      <protection hidden="1"/>
    </xf>
    <xf numFmtId="0" fontId="42" fillId="0" borderId="0" xfId="0" applyFont="1" applyAlignment="1" applyProtection="1">
      <alignment horizontal="left" vertical="top" wrapText="1"/>
      <protection hidden="1"/>
    </xf>
    <xf numFmtId="0" fontId="4" fillId="0" borderId="0" xfId="0" applyFont="1" applyAlignment="1" applyProtection="1">
      <alignment horizontal="left" vertical="top"/>
      <protection hidden="1"/>
    </xf>
    <xf numFmtId="0" fontId="73" fillId="0" borderId="107" xfId="0" applyFont="1" applyBorder="1" applyAlignment="1" applyProtection="1">
      <alignment horizontal="left" vertical="center"/>
      <protection hidden="1"/>
    </xf>
    <xf numFmtId="0" fontId="82" fillId="0" borderId="0" xfId="0" applyFont="1" applyAlignment="1" applyProtection="1">
      <alignment horizontal="left"/>
      <protection hidden="1"/>
    </xf>
    <xf numFmtId="0" fontId="0" fillId="0" borderId="0" xfId="0" applyAlignment="1" applyProtection="1">
      <alignment horizontal="right"/>
      <protection hidden="1"/>
    </xf>
    <xf numFmtId="0" fontId="0" fillId="0" borderId="12" xfId="0" applyBorder="1" applyAlignment="1" applyProtection="1">
      <alignment horizontal="right"/>
      <protection hidden="1"/>
    </xf>
    <xf numFmtId="0" fontId="42" fillId="0" borderId="0" xfId="0" applyFont="1" applyAlignment="1" applyProtection="1">
      <alignment horizontal="center"/>
      <protection hidden="1"/>
    </xf>
    <xf numFmtId="0" fontId="4" fillId="0" borderId="1" xfId="52" applyFont="1" applyBorder="1" applyAlignment="1" applyProtection="1">
      <alignment horizontal="center" vertical="center"/>
      <protection hidden="1"/>
    </xf>
    <xf numFmtId="0" fontId="4" fillId="0" borderId="103" xfId="52" applyFont="1" applyBorder="1" applyAlignment="1" applyProtection="1">
      <alignment horizontal="center" vertical="center"/>
      <protection hidden="1"/>
    </xf>
    <xf numFmtId="0" fontId="4" fillId="0" borderId="56" xfId="52" applyFont="1" applyBorder="1" applyAlignment="1" applyProtection="1">
      <alignment horizontal="center" vertical="center"/>
      <protection hidden="1"/>
    </xf>
    <xf numFmtId="0" fontId="4" fillId="0" borderId="9" xfId="52" applyFont="1" applyBorder="1" applyAlignment="1" applyProtection="1">
      <alignment horizontal="center" vertical="center"/>
      <protection hidden="1"/>
    </xf>
    <xf numFmtId="0" fontId="4" fillId="0" borderId="5" xfId="52" applyFont="1" applyBorder="1" applyAlignment="1" applyProtection="1">
      <alignment horizontal="center" vertical="center" wrapText="1"/>
      <protection hidden="1"/>
    </xf>
    <xf numFmtId="0" fontId="4" fillId="0" borderId="10" xfId="52" applyFont="1" applyBorder="1" applyAlignment="1" applyProtection="1">
      <alignment horizontal="center" vertical="center" wrapText="1"/>
      <protection hidden="1"/>
    </xf>
    <xf numFmtId="0" fontId="4" fillId="0" borderId="9" xfId="52" applyFont="1" applyBorder="1" applyAlignment="1" applyProtection="1">
      <alignment horizontal="center" vertical="center" wrapText="1"/>
      <protection hidden="1"/>
    </xf>
    <xf numFmtId="169" fontId="4" fillId="0" borderId="5" xfId="30" applyNumberFormat="1" applyFont="1" applyBorder="1" applyAlignment="1" applyProtection="1">
      <alignment horizontal="center" vertical="center"/>
      <protection hidden="1"/>
    </xf>
    <xf numFmtId="169" fontId="4" fillId="0" borderId="10" xfId="30" applyNumberFormat="1" applyFont="1" applyBorder="1" applyAlignment="1" applyProtection="1">
      <alignment horizontal="center" vertical="center"/>
      <protection hidden="1"/>
    </xf>
    <xf numFmtId="169" fontId="4" fillId="0" borderId="9" xfId="30" applyNumberFormat="1" applyFont="1" applyBorder="1" applyAlignment="1" applyProtection="1">
      <alignment horizontal="center" vertical="center"/>
      <protection hidden="1"/>
    </xf>
    <xf numFmtId="169" fontId="4" fillId="0" borderId="5" xfId="30" applyNumberFormat="1" applyFont="1" applyBorder="1" applyAlignment="1" applyProtection="1">
      <alignment horizontal="center" vertical="center" wrapText="1"/>
      <protection hidden="1"/>
    </xf>
    <xf numFmtId="169" fontId="4" fillId="0" borderId="10" xfId="30" applyNumberFormat="1" applyFont="1" applyBorder="1" applyAlignment="1" applyProtection="1">
      <alignment horizontal="center" vertical="center" wrapText="1"/>
      <protection hidden="1"/>
    </xf>
    <xf numFmtId="169" fontId="4" fillId="0" borderId="9" xfId="30" applyNumberFormat="1" applyFont="1" applyBorder="1" applyAlignment="1" applyProtection="1">
      <alignment horizontal="center" vertical="center" wrapText="1"/>
      <protection hidden="1"/>
    </xf>
    <xf numFmtId="169" fontId="4" fillId="0" borderId="2" xfId="30" applyNumberFormat="1" applyFont="1" applyBorder="1" applyAlignment="1" applyProtection="1">
      <alignment horizontal="center" vertical="center"/>
      <protection hidden="1"/>
    </xf>
    <xf numFmtId="169" fontId="4" fillId="0" borderId="4" xfId="30" applyNumberFormat="1" applyFont="1" applyBorder="1" applyAlignment="1" applyProtection="1">
      <alignment horizontal="center" vertical="center"/>
      <protection hidden="1"/>
    </xf>
    <xf numFmtId="0" fontId="4" fillId="0" borderId="1" xfId="52" applyFont="1" applyBorder="1" applyAlignment="1" applyProtection="1">
      <alignment horizontal="center" vertical="center" wrapText="1"/>
      <protection hidden="1"/>
    </xf>
    <xf numFmtId="0" fontId="4" fillId="0" borderId="2" xfId="52" applyFont="1" applyBorder="1" applyAlignment="1" applyProtection="1">
      <alignment horizontal="center" vertical="center" wrapText="1"/>
      <protection hidden="1"/>
    </xf>
    <xf numFmtId="0" fontId="4" fillId="0" borderId="103" xfId="52" applyFont="1" applyBorder="1" applyAlignment="1" applyProtection="1">
      <alignment horizontal="left" vertical="center" wrapText="1"/>
      <protection hidden="1"/>
    </xf>
    <xf numFmtId="0" fontId="4" fillId="0" borderId="56" xfId="52" applyFont="1" applyBorder="1" applyAlignment="1" applyProtection="1">
      <alignment horizontal="left" vertical="center" wrapText="1"/>
      <protection hidden="1"/>
    </xf>
    <xf numFmtId="0" fontId="4" fillId="0" borderId="9" xfId="52" applyFont="1" applyBorder="1" applyAlignment="1" applyProtection="1">
      <alignment horizontal="left" vertical="center" wrapText="1"/>
      <protection hidden="1"/>
    </xf>
    <xf numFmtId="0" fontId="15" fillId="0" borderId="8" xfId="0" applyFont="1" applyBorder="1" applyAlignment="1" applyProtection="1">
      <alignment horizontal="center" vertical="center" wrapText="1"/>
      <protection hidden="1"/>
    </xf>
    <xf numFmtId="0" fontId="49" fillId="8" borderId="2" xfId="52" applyFont="1" applyFill="1" applyBorder="1" applyAlignment="1" applyProtection="1">
      <alignment horizontal="center" vertical="center" wrapText="1"/>
      <protection hidden="1"/>
    </xf>
    <xf numFmtId="0" fontId="49" fillId="8" borderId="3" xfId="52" applyFont="1" applyFill="1" applyBorder="1" applyAlignment="1" applyProtection="1">
      <alignment horizontal="center" vertical="center" wrapText="1"/>
      <protection hidden="1"/>
    </xf>
    <xf numFmtId="0" fontId="49" fillId="8" borderId="4" xfId="52" applyFont="1" applyFill="1" applyBorder="1" applyAlignment="1" applyProtection="1">
      <alignment horizontal="center" vertical="center" wrapText="1"/>
      <protection hidden="1"/>
    </xf>
    <xf numFmtId="0" fontId="4" fillId="0" borderId="5" xfId="52" applyFont="1" applyBorder="1" applyAlignment="1" applyProtection="1">
      <alignment horizontal="center" vertical="center"/>
      <protection hidden="1"/>
    </xf>
    <xf numFmtId="0" fontId="7" fillId="0" borderId="5" xfId="52" applyFont="1" applyBorder="1" applyAlignment="1" applyProtection="1">
      <alignment horizontal="center" vertical="center" wrapText="1"/>
      <protection hidden="1"/>
    </xf>
    <xf numFmtId="0" fontId="7" fillId="0" borderId="9" xfId="52" applyFont="1" applyBorder="1" applyAlignment="1" applyProtection="1">
      <alignment horizontal="center" vertical="center" wrapText="1"/>
      <protection hidden="1"/>
    </xf>
    <xf numFmtId="7" fontId="4" fillId="0" borderId="5" xfId="30" applyNumberFormat="1" applyFont="1" applyBorder="1" applyAlignment="1" applyProtection="1">
      <alignment horizontal="center" vertical="center"/>
      <protection hidden="1"/>
    </xf>
    <xf numFmtId="7" fontId="4" fillId="0" borderId="9" xfId="30" applyNumberFormat="1" applyFont="1" applyBorder="1" applyAlignment="1" applyProtection="1">
      <alignment horizontal="center" vertical="center"/>
      <protection hidden="1"/>
    </xf>
    <xf numFmtId="0" fontId="49" fillId="17" borderId="60" xfId="52" applyFont="1" applyFill="1" applyBorder="1" applyAlignment="1" applyProtection="1">
      <alignment horizontal="center" vertical="center" wrapText="1"/>
      <protection hidden="1"/>
    </xf>
    <xf numFmtId="0" fontId="49" fillId="17" borderId="0" xfId="52" applyFont="1" applyFill="1" applyAlignment="1" applyProtection="1">
      <alignment horizontal="center" vertical="center" wrapText="1"/>
      <protection hidden="1"/>
    </xf>
    <xf numFmtId="0" fontId="58" fillId="17" borderId="0" xfId="0" applyFont="1" applyFill="1" applyAlignment="1" applyProtection="1">
      <alignment horizontal="left" vertical="center" wrapText="1"/>
      <protection hidden="1"/>
    </xf>
    <xf numFmtId="0" fontId="49" fillId="17" borderId="1" xfId="52" applyFont="1" applyFill="1" applyBorder="1" applyAlignment="1" applyProtection="1">
      <alignment horizontal="center" vertical="center" wrapText="1"/>
      <protection hidden="1"/>
    </xf>
    <xf numFmtId="0" fontId="49" fillId="17" borderId="2" xfId="52" applyFont="1" applyFill="1" applyBorder="1" applyAlignment="1" applyProtection="1">
      <alignment horizontal="center" vertical="center" wrapText="1"/>
      <protection hidden="1"/>
    </xf>
    <xf numFmtId="0" fontId="49" fillId="17" borderId="3" xfId="52" applyFont="1" applyFill="1" applyBorder="1" applyAlignment="1" applyProtection="1">
      <alignment horizontal="center" vertical="center" wrapText="1"/>
      <protection hidden="1"/>
    </xf>
    <xf numFmtId="0" fontId="49" fillId="17" borderId="4" xfId="52" applyFont="1" applyFill="1" applyBorder="1" applyAlignment="1" applyProtection="1">
      <alignment horizontal="center" vertical="center" wrapText="1"/>
      <protection hidden="1"/>
    </xf>
    <xf numFmtId="0" fontId="49" fillId="17" borderId="15" xfId="52" applyFont="1" applyFill="1" applyBorder="1" applyAlignment="1" applyProtection="1">
      <alignment horizontal="center" vertical="center" wrapText="1"/>
      <protection hidden="1"/>
    </xf>
    <xf numFmtId="0" fontId="49" fillId="17" borderId="14" xfId="52" applyFont="1" applyFill="1" applyBorder="1" applyAlignment="1" applyProtection="1">
      <alignment horizontal="center" vertical="center" wrapText="1"/>
      <protection hidden="1"/>
    </xf>
    <xf numFmtId="0" fontId="49" fillId="17" borderId="13" xfId="52" applyFont="1" applyFill="1" applyBorder="1" applyAlignment="1" applyProtection="1">
      <alignment horizontal="center" vertical="center" wrapText="1"/>
      <protection hidden="1"/>
    </xf>
    <xf numFmtId="0" fontId="87" fillId="17" borderId="107" xfId="0" applyFont="1" applyFill="1" applyBorder="1" applyAlignment="1" applyProtection="1">
      <alignment horizontal="left" vertical="center"/>
      <protection hidden="1"/>
    </xf>
    <xf numFmtId="0" fontId="49" fillId="17" borderId="16" xfId="52" applyFont="1" applyFill="1" applyBorder="1" applyAlignment="1" applyProtection="1">
      <alignment horizontal="center" vertical="center" wrapText="1"/>
      <protection hidden="1"/>
    </xf>
    <xf numFmtId="0" fontId="49" fillId="17" borderId="8" xfId="52" applyFont="1" applyFill="1" applyBorder="1" applyAlignment="1" applyProtection="1">
      <alignment horizontal="center" vertical="center" wrapText="1"/>
      <protection hidden="1"/>
    </xf>
    <xf numFmtId="0" fontId="15" fillId="14" borderId="0" xfId="52" applyFont="1" applyFill="1" applyAlignment="1" applyProtection="1">
      <alignment horizontal="left" vertical="center" wrapText="1"/>
      <protection hidden="1"/>
    </xf>
    <xf numFmtId="0" fontId="4" fillId="0" borderId="10" xfId="52" applyFont="1" applyBorder="1" applyAlignment="1" applyProtection="1">
      <alignment horizontal="center" vertical="center"/>
      <protection hidden="1"/>
    </xf>
    <xf numFmtId="0" fontId="4" fillId="0" borderId="5" xfId="52" quotePrefix="1" applyFont="1" applyBorder="1" applyAlignment="1" applyProtection="1">
      <alignment horizontal="left" vertical="top" wrapText="1"/>
      <protection hidden="1"/>
    </xf>
    <xf numFmtId="0" fontId="4" fillId="0" borderId="10" xfId="52" applyFont="1" applyBorder="1" applyAlignment="1" applyProtection="1">
      <alignment horizontal="left" vertical="top" wrapText="1"/>
      <protection hidden="1"/>
    </xf>
    <xf numFmtId="0" fontId="4" fillId="0" borderId="9" xfId="52" applyFont="1" applyBorder="1" applyAlignment="1" applyProtection="1">
      <alignment horizontal="left" vertical="top" wrapText="1"/>
      <protection hidden="1"/>
    </xf>
    <xf numFmtId="0" fontId="113" fillId="0" borderId="0" xfId="0" applyFont="1" applyAlignment="1">
      <alignment horizontal="left" wrapText="1"/>
    </xf>
    <xf numFmtId="0" fontId="111" fillId="0" borderId="0" xfId="52" applyFont="1" applyAlignment="1" applyProtection="1">
      <alignment horizontal="left" vertical="center" wrapText="1"/>
      <protection hidden="1"/>
    </xf>
    <xf numFmtId="0" fontId="7" fillId="0" borderId="1" xfId="52" applyFont="1" applyBorder="1" applyAlignment="1" applyProtection="1">
      <alignment horizontal="center" vertical="top" wrapText="1"/>
      <protection hidden="1"/>
    </xf>
    <xf numFmtId="0" fontId="52" fillId="17" borderId="66" xfId="0" applyFont="1" applyFill="1" applyBorder="1" applyAlignment="1" applyProtection="1">
      <alignment horizontal="center"/>
      <protection hidden="1"/>
    </xf>
    <xf numFmtId="0" fontId="52" fillId="17" borderId="67" xfId="0" applyFont="1" applyFill="1" applyBorder="1" applyAlignment="1" applyProtection="1">
      <alignment horizontal="center"/>
      <protection hidden="1"/>
    </xf>
    <xf numFmtId="0" fontId="52" fillId="17" borderId="68" xfId="0" applyFont="1" applyFill="1" applyBorder="1" applyAlignment="1" applyProtection="1">
      <alignment horizontal="center"/>
      <protection hidden="1"/>
    </xf>
    <xf numFmtId="0" fontId="3" fillId="0" borderId="3" xfId="52" applyFont="1" applyBorder="1" applyAlignment="1" applyProtection="1">
      <alignment horizontal="left"/>
      <protection hidden="1"/>
    </xf>
    <xf numFmtId="0" fontId="3" fillId="14" borderId="8" xfId="52" applyFont="1" applyFill="1" applyBorder="1" applyAlignment="1" applyProtection="1">
      <alignment horizontal="left"/>
      <protection hidden="1"/>
    </xf>
    <xf numFmtId="173" fontId="3" fillId="0" borderId="3" xfId="52" applyNumberFormat="1" applyFont="1" applyBorder="1" applyAlignment="1" applyProtection="1">
      <alignment horizontal="left"/>
      <protection hidden="1"/>
    </xf>
    <xf numFmtId="0" fontId="3" fillId="0" borderId="8" xfId="52" applyFont="1" applyBorder="1" applyAlignment="1" applyProtection="1">
      <alignment horizontal="left"/>
      <protection hidden="1"/>
    </xf>
    <xf numFmtId="0" fontId="23" fillId="17" borderId="50" xfId="53" applyFont="1" applyFill="1" applyBorder="1" applyAlignment="1" applyProtection="1">
      <alignment horizontal="center" vertical="center" wrapText="1"/>
      <protection hidden="1"/>
    </xf>
    <xf numFmtId="0" fontId="23" fillId="17" borderId="35" xfId="53" applyFont="1" applyFill="1" applyBorder="1" applyAlignment="1" applyProtection="1">
      <alignment horizontal="center" vertical="center" wrapText="1"/>
      <protection hidden="1"/>
    </xf>
    <xf numFmtId="0" fontId="23" fillId="17" borderId="51" xfId="53" applyFont="1" applyFill="1" applyBorder="1" applyAlignment="1" applyProtection="1">
      <alignment horizontal="center" vertical="center" wrapText="1"/>
      <protection hidden="1"/>
    </xf>
    <xf numFmtId="0" fontId="23" fillId="17" borderId="37" xfId="53" applyFont="1" applyFill="1" applyBorder="1" applyAlignment="1" applyProtection="1">
      <alignment horizontal="center" vertical="center" wrapText="1"/>
      <protection hidden="1"/>
    </xf>
    <xf numFmtId="0" fontId="7" fillId="2" borderId="17" xfId="0" applyFont="1" applyFill="1" applyBorder="1" applyAlignment="1" applyProtection="1">
      <alignment horizontal="center"/>
      <protection hidden="1"/>
    </xf>
    <xf numFmtId="0" fontId="7" fillId="6" borderId="39" xfId="0" applyFont="1" applyFill="1" applyBorder="1" applyAlignment="1" applyProtection="1">
      <alignment horizontal="center"/>
      <protection locked="0"/>
    </xf>
    <xf numFmtId="0" fontId="7" fillId="2" borderId="105" xfId="0" applyFont="1" applyFill="1" applyBorder="1" applyAlignment="1" applyProtection="1">
      <alignment horizontal="center"/>
      <protection hidden="1"/>
    </xf>
    <xf numFmtId="0" fontId="7" fillId="2" borderId="42" xfId="0" applyFont="1" applyFill="1" applyBorder="1" applyAlignment="1" applyProtection="1">
      <alignment horizontal="center"/>
      <protection hidden="1"/>
    </xf>
    <xf numFmtId="44" fontId="7" fillId="14" borderId="104" xfId="0" applyNumberFormat="1" applyFont="1" applyFill="1" applyBorder="1" applyAlignment="1" applyProtection="1">
      <alignment horizontal="center"/>
      <protection hidden="1"/>
    </xf>
    <xf numFmtId="44" fontId="7" fillId="14" borderId="37" xfId="0" applyNumberFormat="1" applyFont="1" applyFill="1" applyBorder="1" applyAlignment="1" applyProtection="1">
      <alignment horizontal="center"/>
      <protection hidden="1"/>
    </xf>
    <xf numFmtId="0" fontId="52" fillId="17" borderId="43" xfId="0" applyFont="1" applyFill="1" applyBorder="1" applyAlignment="1" applyProtection="1">
      <alignment horizontal="center"/>
      <protection hidden="1"/>
    </xf>
    <xf numFmtId="0" fontId="52" fillId="17" borderId="41" xfId="0" applyFont="1" applyFill="1" applyBorder="1" applyAlignment="1" applyProtection="1">
      <alignment horizontal="center"/>
      <protection hidden="1"/>
    </xf>
    <xf numFmtId="0" fontId="52" fillId="17" borderId="42" xfId="0" applyFont="1" applyFill="1" applyBorder="1" applyAlignment="1" applyProtection="1">
      <alignment horizontal="center"/>
      <protection hidden="1"/>
    </xf>
    <xf numFmtId="0" fontId="7" fillId="2" borderId="106" xfId="0" applyFont="1" applyFill="1" applyBorder="1" applyAlignment="1" applyProtection="1">
      <alignment horizontal="center"/>
      <protection hidden="1"/>
    </xf>
    <xf numFmtId="0" fontId="52" fillId="17" borderId="30" xfId="0" applyFont="1" applyFill="1" applyBorder="1" applyAlignment="1" applyProtection="1">
      <alignment horizontal="center" wrapText="1"/>
      <protection hidden="1"/>
    </xf>
    <xf numFmtId="0" fontId="52" fillId="17" borderId="21" xfId="0" applyFont="1" applyFill="1" applyBorder="1" applyAlignment="1" applyProtection="1">
      <alignment horizontal="center" wrapText="1"/>
      <protection hidden="1"/>
    </xf>
    <xf numFmtId="0" fontId="7" fillId="6" borderId="104" xfId="0" applyFont="1" applyFill="1" applyBorder="1" applyAlignment="1" applyProtection="1">
      <alignment horizontal="center"/>
      <protection locked="0"/>
    </xf>
    <xf numFmtId="0" fontId="7" fillId="6" borderId="49" xfId="0" applyFont="1" applyFill="1" applyBorder="1" applyAlignment="1" applyProtection="1">
      <alignment horizontal="center"/>
      <protection locked="0"/>
    </xf>
    <xf numFmtId="0" fontId="3" fillId="6" borderId="8" xfId="52" applyFont="1" applyFill="1" applyBorder="1" applyAlignment="1" applyProtection="1">
      <alignment horizontal="center"/>
      <protection locked="0"/>
    </xf>
    <xf numFmtId="0" fontId="52" fillId="17" borderId="64" xfId="0" applyFont="1" applyFill="1" applyBorder="1" applyAlignment="1" applyProtection="1">
      <alignment horizontal="center" vertical="center" wrapText="1"/>
      <protection hidden="1"/>
    </xf>
    <xf numFmtId="0" fontId="52" fillId="17" borderId="26" xfId="0" applyFont="1" applyFill="1" applyBorder="1" applyAlignment="1" applyProtection="1">
      <alignment horizontal="center" vertical="center" wrapText="1"/>
      <protection hidden="1"/>
    </xf>
    <xf numFmtId="0" fontId="52" fillId="17" borderId="23" xfId="0" applyFont="1" applyFill="1" applyBorder="1" applyAlignment="1" applyProtection="1">
      <alignment horizontal="center" vertical="center" wrapText="1"/>
      <protection hidden="1"/>
    </xf>
    <xf numFmtId="0" fontId="52" fillId="17" borderId="76" xfId="0" applyFont="1" applyFill="1" applyBorder="1" applyAlignment="1" applyProtection="1">
      <alignment horizontal="center" vertical="center" wrapText="1"/>
      <protection hidden="1"/>
    </xf>
    <xf numFmtId="0" fontId="79" fillId="17" borderId="66" xfId="0" applyFont="1" applyFill="1" applyBorder="1" applyAlignment="1" applyProtection="1">
      <alignment horizontal="center"/>
      <protection hidden="1"/>
    </xf>
    <xf numFmtId="0" fontId="79" fillId="17" borderId="67" xfId="0" applyFont="1" applyFill="1" applyBorder="1" applyAlignment="1" applyProtection="1">
      <alignment horizontal="center"/>
      <protection hidden="1"/>
    </xf>
    <xf numFmtId="0" fontId="79" fillId="17" borderId="68" xfId="0" applyFont="1" applyFill="1" applyBorder="1" applyAlignment="1" applyProtection="1">
      <alignment horizontal="center"/>
      <protection hidden="1"/>
    </xf>
    <xf numFmtId="0" fontId="99" fillId="17" borderId="50" xfId="52" applyFont="1" applyFill="1" applyBorder="1" applyAlignment="1" applyProtection="1">
      <alignment horizontal="center" vertical="center"/>
      <protection hidden="1"/>
    </xf>
    <xf numFmtId="0" fontId="99" fillId="17" borderId="35" xfId="52" applyFont="1" applyFill="1" applyBorder="1" applyAlignment="1" applyProtection="1">
      <alignment horizontal="center" vertical="center"/>
      <protection hidden="1"/>
    </xf>
    <xf numFmtId="0" fontId="99" fillId="17" borderId="66" xfId="52" applyFont="1" applyFill="1" applyBorder="1" applyAlignment="1" applyProtection="1">
      <alignment horizontal="center"/>
      <protection hidden="1"/>
    </xf>
    <xf numFmtId="0" fontId="99" fillId="17" borderId="67" xfId="52" applyFont="1" applyFill="1" applyBorder="1" applyAlignment="1" applyProtection="1">
      <alignment horizontal="center"/>
      <protection hidden="1"/>
    </xf>
    <xf numFmtId="0" fontId="99" fillId="17" borderId="68" xfId="52" applyFont="1" applyFill="1" applyBorder="1" applyAlignment="1" applyProtection="1">
      <alignment horizontal="center"/>
      <protection hidden="1"/>
    </xf>
    <xf numFmtId="0" fontId="49" fillId="26" borderId="0" xfId="52" applyFont="1" applyFill="1" applyAlignment="1" applyProtection="1">
      <alignment horizontal="left"/>
      <protection hidden="1"/>
    </xf>
    <xf numFmtId="0" fontId="79" fillId="17" borderId="30" xfId="0" applyFont="1" applyFill="1" applyBorder="1" applyAlignment="1" applyProtection="1">
      <alignment horizontal="center"/>
      <protection hidden="1"/>
    </xf>
    <xf numFmtId="0" fontId="79" fillId="17" borderId="20" xfId="0" applyFont="1" applyFill="1" applyBorder="1" applyAlignment="1" applyProtection="1">
      <alignment horizontal="center"/>
      <protection hidden="1"/>
    </xf>
    <xf numFmtId="0" fontId="79" fillId="17" borderId="21" xfId="0" applyFont="1" applyFill="1" applyBorder="1" applyAlignment="1" applyProtection="1">
      <alignment horizontal="center"/>
      <protection hidden="1"/>
    </xf>
    <xf numFmtId="0" fontId="23" fillId="17" borderId="15" xfId="53" applyFont="1" applyFill="1" applyBorder="1" applyAlignment="1" applyProtection="1">
      <alignment horizontal="center" vertical="center" wrapText="1"/>
      <protection hidden="1"/>
    </xf>
    <xf numFmtId="0" fontId="23" fillId="17" borderId="13" xfId="53" applyFont="1" applyFill="1" applyBorder="1" applyAlignment="1" applyProtection="1">
      <alignment horizontal="center" vertical="center" wrapText="1"/>
      <protection hidden="1"/>
    </xf>
    <xf numFmtId="0" fontId="23" fillId="17" borderId="16" xfId="53" applyFont="1" applyFill="1" applyBorder="1" applyAlignment="1" applyProtection="1">
      <alignment horizontal="center" vertical="center" wrapText="1"/>
      <protection hidden="1"/>
    </xf>
    <xf numFmtId="0" fontId="23" fillId="17" borderId="11" xfId="53" applyFont="1" applyFill="1" applyBorder="1" applyAlignment="1" applyProtection="1">
      <alignment horizontal="center" vertical="center" wrapText="1"/>
      <protection hidden="1"/>
    </xf>
    <xf numFmtId="0" fontId="99" fillId="17" borderId="50" xfId="52" applyFont="1" applyFill="1" applyBorder="1" applyAlignment="1" applyProtection="1">
      <alignment horizontal="center"/>
      <protection hidden="1"/>
    </xf>
    <xf numFmtId="0" fontId="99" fillId="17" borderId="34" xfId="52" applyFont="1" applyFill="1" applyBorder="1" applyAlignment="1" applyProtection="1">
      <alignment horizontal="center"/>
      <protection hidden="1"/>
    </xf>
    <xf numFmtId="0" fontId="99" fillId="17" borderId="35" xfId="52" applyFont="1" applyFill="1" applyBorder="1" applyAlignment="1" applyProtection="1">
      <alignment horizontal="center"/>
      <protection hidden="1"/>
    </xf>
    <xf numFmtId="0" fontId="3" fillId="14" borderId="8" xfId="52" applyFont="1" applyFill="1" applyBorder="1" applyAlignment="1" applyProtection="1">
      <alignment horizontal="center"/>
      <protection hidden="1"/>
    </xf>
    <xf numFmtId="0" fontId="3" fillId="0" borderId="3" xfId="52" applyFont="1" applyBorder="1" applyAlignment="1" applyProtection="1">
      <alignment horizontal="center"/>
      <protection hidden="1"/>
    </xf>
    <xf numFmtId="173" fontId="3" fillId="0" borderId="3" xfId="52" applyNumberFormat="1" applyFont="1" applyBorder="1" applyAlignment="1" applyProtection="1">
      <alignment horizontal="center"/>
      <protection hidden="1"/>
    </xf>
    <xf numFmtId="0" fontId="38" fillId="20" borderId="43" xfId="0" applyFont="1" applyFill="1" applyBorder="1" applyAlignment="1">
      <alignment horizontal="center"/>
    </xf>
    <xf numFmtId="0" fontId="38" fillId="20" borderId="41" xfId="0" applyFont="1" applyFill="1" applyBorder="1" applyAlignment="1">
      <alignment horizontal="center"/>
    </xf>
    <xf numFmtId="0" fontId="38" fillId="20" borderId="42" xfId="0" applyFont="1" applyFill="1" applyBorder="1" applyAlignment="1">
      <alignment horizontal="center"/>
    </xf>
    <xf numFmtId="44" fontId="115" fillId="19" borderId="46" xfId="29" applyFont="1" applyFill="1" applyBorder="1" applyAlignment="1" applyProtection="1">
      <alignment horizontal="center" vertical="center"/>
      <protection locked="0"/>
    </xf>
    <xf numFmtId="44" fontId="115" fillId="19" borderId="47" xfId="29" applyFont="1" applyFill="1" applyBorder="1" applyAlignment="1" applyProtection="1">
      <alignment horizontal="center" vertical="center"/>
      <protection locked="0"/>
    </xf>
    <xf numFmtId="44" fontId="115" fillId="19" borderId="48" xfId="29" applyFont="1" applyFill="1" applyBorder="1" applyAlignment="1" applyProtection="1">
      <alignment horizontal="center" vertical="center"/>
      <protection locked="0"/>
    </xf>
    <xf numFmtId="0" fontId="38" fillId="20" borderId="51" xfId="0" applyFont="1" applyFill="1" applyBorder="1" applyAlignment="1">
      <alignment horizontal="center"/>
    </xf>
    <xf numFmtId="0" fontId="38" fillId="20" borderId="37" xfId="0" applyFont="1" applyFill="1" applyBorder="1" applyAlignment="1">
      <alignment horizontal="center"/>
    </xf>
    <xf numFmtId="0" fontId="117" fillId="20" borderId="69" xfId="67" applyFont="1" applyFill="1" applyBorder="1" applyAlignment="1">
      <alignment horizontal="center" vertical="center" wrapText="1"/>
    </xf>
    <xf numFmtId="0" fontId="117" fillId="20" borderId="44" xfId="67" applyFont="1" applyFill="1" applyBorder="1" applyAlignment="1">
      <alignment horizontal="center" vertical="center" wrapText="1"/>
    </xf>
    <xf numFmtId="0" fontId="117" fillId="20" borderId="103" xfId="67" applyFont="1" applyFill="1" applyBorder="1" applyAlignment="1">
      <alignment horizontal="center" vertical="center" wrapText="1"/>
    </xf>
    <xf numFmtId="0" fontId="117" fillId="20" borderId="39" xfId="67" applyFont="1" applyFill="1" applyBorder="1" applyAlignment="1">
      <alignment horizontal="center" vertical="center" wrapText="1"/>
    </xf>
    <xf numFmtId="0" fontId="117" fillId="20" borderId="70" xfId="67" applyFont="1" applyFill="1" applyBorder="1" applyAlignment="1">
      <alignment horizontal="center" vertical="center" wrapText="1"/>
    </xf>
    <xf numFmtId="0" fontId="117" fillId="20" borderId="40" xfId="67" applyFont="1" applyFill="1" applyBorder="1" applyAlignment="1">
      <alignment horizontal="center" vertical="center" wrapText="1"/>
    </xf>
    <xf numFmtId="0" fontId="117" fillId="20" borderId="66" xfId="67" applyFont="1" applyFill="1" applyBorder="1" applyAlignment="1">
      <alignment horizontal="center" vertical="center" wrapText="1"/>
    </xf>
    <xf numFmtId="0" fontId="117" fillId="20" borderId="67" xfId="67" applyFont="1" applyFill="1" applyBorder="1" applyAlignment="1">
      <alignment horizontal="center" vertical="center" wrapText="1"/>
    </xf>
    <xf numFmtId="0" fontId="117" fillId="20" borderId="68" xfId="67" applyFont="1" applyFill="1" applyBorder="1" applyAlignment="1">
      <alignment horizontal="center" vertical="center" wrapText="1"/>
    </xf>
    <xf numFmtId="0" fontId="116" fillId="0" borderId="62" xfId="0" applyFont="1" applyBorder="1" applyAlignment="1">
      <alignment horizontal="left"/>
    </xf>
    <xf numFmtId="0" fontId="38" fillId="17" borderId="51" xfId="0" applyFont="1" applyFill="1" applyBorder="1" applyAlignment="1">
      <alignment horizontal="center"/>
    </xf>
    <xf numFmtId="0" fontId="38" fillId="17" borderId="36" xfId="0" applyFont="1" applyFill="1" applyBorder="1" applyAlignment="1">
      <alignment horizontal="center"/>
    </xf>
    <xf numFmtId="0" fontId="117" fillId="20" borderId="30" xfId="67" applyFont="1" applyFill="1" applyBorder="1" applyAlignment="1">
      <alignment horizontal="center" vertical="center" wrapText="1"/>
    </xf>
    <xf numFmtId="0" fontId="117" fillId="20" borderId="21" xfId="67" applyFont="1" applyFill="1" applyBorder="1" applyAlignment="1">
      <alignment horizontal="center" vertical="center" wrapText="1"/>
    </xf>
    <xf numFmtId="0" fontId="38" fillId="17" borderId="43" xfId="0" applyFont="1" applyFill="1" applyBorder="1" applyAlignment="1">
      <alignment horizontal="center"/>
    </xf>
    <xf numFmtId="0" fontId="38" fillId="17" borderId="42" xfId="0" applyFont="1" applyFill="1" applyBorder="1" applyAlignment="1">
      <alignment horizontal="center"/>
    </xf>
    <xf numFmtId="0" fontId="127" fillId="20" borderId="97" xfId="67" applyFont="1" applyFill="1" applyBorder="1" applyAlignment="1">
      <alignment horizontal="left" vertical="center" wrapText="1"/>
    </xf>
    <xf numFmtId="0" fontId="127" fillId="20" borderId="98" xfId="67" applyFont="1" applyFill="1" applyBorder="1" applyAlignment="1">
      <alignment horizontal="left" vertical="center" wrapText="1"/>
    </xf>
    <xf numFmtId="0" fontId="127" fillId="20" borderId="99" xfId="67" applyFont="1" applyFill="1" applyBorder="1" applyAlignment="1">
      <alignment horizontal="left" vertical="center" wrapText="1"/>
    </xf>
    <xf numFmtId="0" fontId="127" fillId="20" borderId="30" xfId="66" applyFont="1" applyFill="1" applyBorder="1" applyAlignment="1">
      <alignment horizontal="center" vertical="center"/>
    </xf>
    <xf numFmtId="0" fontId="127" fillId="20" borderId="20" xfId="66" applyFont="1" applyFill="1" applyBorder="1" applyAlignment="1">
      <alignment horizontal="center" vertical="center"/>
    </xf>
    <xf numFmtId="0" fontId="127" fillId="20" borderId="21" xfId="66" applyFont="1" applyFill="1" applyBorder="1" applyAlignment="1">
      <alignment horizontal="center" vertical="center"/>
    </xf>
    <xf numFmtId="0" fontId="76" fillId="0" borderId="79" xfId="0" applyFont="1" applyBorder="1" applyAlignment="1">
      <alignment horizontal="left" vertical="center" wrapText="1"/>
    </xf>
    <xf numFmtId="0" fontId="76" fillId="0" borderId="31" xfId="0" applyFont="1" applyBorder="1" applyAlignment="1">
      <alignment horizontal="left" vertical="center" wrapText="1"/>
    </xf>
    <xf numFmtId="0" fontId="76" fillId="0" borderId="32" xfId="0" applyFont="1" applyBorder="1" applyAlignment="1">
      <alignment horizontal="left" vertical="center" wrapText="1"/>
    </xf>
    <xf numFmtId="167" fontId="118" fillId="0" borderId="83" xfId="54" applyNumberFormat="1" applyFont="1" applyBorder="1" applyAlignment="1">
      <alignment horizontal="center" vertical="center"/>
    </xf>
    <xf numFmtId="167" fontId="118" fillId="0" borderId="84" xfId="54" applyNumberFormat="1" applyFont="1" applyBorder="1" applyAlignment="1">
      <alignment horizontal="center" vertical="center"/>
    </xf>
    <xf numFmtId="167" fontId="118" fillId="0" borderId="85" xfId="54" applyNumberFormat="1" applyFont="1" applyBorder="1" applyAlignment="1">
      <alignment horizontal="center" vertical="center"/>
    </xf>
    <xf numFmtId="0" fontId="106" fillId="0" borderId="82" xfId="66" applyFont="1" applyBorder="1" applyAlignment="1">
      <alignment horizontal="center" vertical="center" wrapText="1"/>
    </xf>
    <xf numFmtId="167" fontId="118" fillId="0" borderId="82" xfId="54" applyNumberFormat="1" applyFont="1" applyBorder="1" applyAlignment="1">
      <alignment horizontal="center" vertical="center"/>
    </xf>
    <xf numFmtId="0" fontId="117" fillId="20" borderId="87" xfId="67" applyFont="1" applyFill="1" applyBorder="1" applyAlignment="1">
      <alignment horizontal="left" vertical="center" wrapText="1"/>
    </xf>
    <xf numFmtId="0" fontId="117" fillId="20" borderId="90" xfId="67" applyFont="1" applyFill="1" applyBorder="1" applyAlignment="1">
      <alignment horizontal="left" vertical="center" wrapText="1"/>
    </xf>
    <xf numFmtId="0" fontId="118" fillId="0" borderId="82" xfId="69" applyFont="1" applyBorder="1" applyAlignment="1">
      <alignment horizontal="center" vertical="center" wrapText="1"/>
    </xf>
    <xf numFmtId="0" fontId="118" fillId="0" borderId="82" xfId="54" applyFont="1" applyBorder="1" applyAlignment="1">
      <alignment horizontal="center" vertical="center" wrapText="1"/>
    </xf>
    <xf numFmtId="0" fontId="118" fillId="0" borderId="21" xfId="53" applyFont="1" applyBorder="1" applyAlignment="1">
      <alignment horizontal="center" vertical="center" wrapText="1"/>
    </xf>
    <xf numFmtId="0" fontId="118" fillId="0" borderId="70" xfId="53" applyFont="1" applyBorder="1" applyAlignment="1">
      <alignment horizontal="center" vertical="center" wrapText="1"/>
    </xf>
    <xf numFmtId="0" fontId="118" fillId="18" borderId="29" xfId="53" applyFont="1" applyFill="1" applyBorder="1" applyAlignment="1">
      <alignment horizontal="center" vertical="center" wrapText="1"/>
    </xf>
    <xf numFmtId="0" fontId="118" fillId="18" borderId="55" xfId="53" applyFont="1" applyFill="1" applyBorder="1" applyAlignment="1">
      <alignment horizontal="center" vertical="center" wrapText="1"/>
    </xf>
    <xf numFmtId="0" fontId="118" fillId="0" borderId="22" xfId="53" applyFont="1" applyBorder="1" applyAlignment="1">
      <alignment horizontal="center" vertical="center" wrapText="1"/>
    </xf>
    <xf numFmtId="0" fontId="117" fillId="20" borderId="88" xfId="67" applyFont="1" applyFill="1" applyBorder="1" applyAlignment="1">
      <alignment horizontal="center" vertical="center" wrapText="1"/>
    </xf>
    <xf numFmtId="0" fontId="117" fillId="20" borderId="89" xfId="67" applyFont="1" applyFill="1" applyBorder="1" applyAlignment="1">
      <alignment horizontal="center" vertical="center" wrapText="1"/>
    </xf>
    <xf numFmtId="0" fontId="117" fillId="20" borderId="92" xfId="67" applyFont="1" applyFill="1" applyBorder="1" applyAlignment="1">
      <alignment horizontal="center" vertical="center" wrapText="1"/>
    </xf>
    <xf numFmtId="166" fontId="118" fillId="0" borderId="82" xfId="69" applyNumberFormat="1" applyFont="1" applyBorder="1" applyAlignment="1">
      <alignment horizontal="center" vertical="center"/>
    </xf>
    <xf numFmtId="0" fontId="118" fillId="0" borderId="82" xfId="67" applyFont="1" applyBorder="1" applyAlignment="1">
      <alignment horizontal="center" vertical="center"/>
    </xf>
    <xf numFmtId="0" fontId="118" fillId="0" borderId="96" xfId="54" applyFont="1" applyBorder="1" applyAlignment="1">
      <alignment horizontal="left" vertical="center" wrapText="1"/>
    </xf>
    <xf numFmtId="2" fontId="118" fillId="0" borderId="2" xfId="66" applyNumberFormat="1" applyFont="1" applyBorder="1" applyAlignment="1">
      <alignment horizontal="center" vertical="center" wrapText="1"/>
    </xf>
    <xf numFmtId="2" fontId="118" fillId="0" borderId="4" xfId="66" applyNumberFormat="1" applyFont="1" applyBorder="1" applyAlignment="1">
      <alignment horizontal="center" vertical="center" wrapText="1"/>
    </xf>
    <xf numFmtId="0" fontId="118" fillId="0" borderId="2" xfId="66" applyFont="1" applyBorder="1" applyAlignment="1">
      <alignment horizontal="center" vertical="center" wrapText="1"/>
    </xf>
    <xf numFmtId="0" fontId="118" fillId="0" borderId="4" xfId="66" applyFont="1" applyBorder="1" applyAlignment="1">
      <alignment horizontal="center" vertical="center" wrapText="1"/>
    </xf>
    <xf numFmtId="0" fontId="118" fillId="18" borderId="1" xfId="53" applyFont="1" applyFill="1" applyBorder="1" applyAlignment="1">
      <alignment horizontal="center" vertical="center" wrapText="1"/>
    </xf>
    <xf numFmtId="0" fontId="118" fillId="18" borderId="5" xfId="53" applyFont="1" applyFill="1" applyBorder="1" applyAlignment="1">
      <alignment horizontal="center" vertical="center" wrapText="1"/>
    </xf>
    <xf numFmtId="0" fontId="118" fillId="0" borderId="30" xfId="53" applyFont="1" applyBorder="1" applyAlignment="1">
      <alignment horizontal="center" vertical="center" wrapText="1"/>
    </xf>
    <xf numFmtId="0" fontId="118" fillId="0" borderId="31" xfId="53" applyFont="1" applyBorder="1" applyAlignment="1">
      <alignment horizontal="center" vertical="center" wrapText="1"/>
    </xf>
    <xf numFmtId="0" fontId="118" fillId="0" borderId="69" xfId="53" applyFont="1" applyBorder="1" applyAlignment="1">
      <alignment horizontal="center" vertical="center" wrapText="1"/>
    </xf>
    <xf numFmtId="0" fontId="118" fillId="0" borderId="5" xfId="53" applyFont="1" applyBorder="1" applyAlignment="1">
      <alignment horizontal="center" vertical="center" wrapText="1"/>
    </xf>
    <xf numFmtId="0" fontId="118" fillId="0" borderId="10" xfId="53" applyFont="1" applyBorder="1" applyAlignment="1">
      <alignment horizontal="center" vertical="center" wrapText="1"/>
    </xf>
    <xf numFmtId="0" fontId="117" fillId="20" borderId="1" xfId="66" applyFont="1" applyFill="1" applyBorder="1" applyAlignment="1">
      <alignment horizontal="center" vertical="center" wrapText="1"/>
    </xf>
    <xf numFmtId="0" fontId="117" fillId="20" borderId="2" xfId="66" applyFont="1" applyFill="1" applyBorder="1" applyAlignment="1">
      <alignment horizontal="center" vertical="center" wrapText="1"/>
    </xf>
    <xf numFmtId="0" fontId="117" fillId="20" borderId="3" xfId="66" applyFont="1" applyFill="1" applyBorder="1" applyAlignment="1">
      <alignment horizontal="center" vertical="center" wrapText="1"/>
    </xf>
    <xf numFmtId="0" fontId="117" fillId="20" borderId="4" xfId="66" applyFont="1" applyFill="1" applyBorder="1" applyAlignment="1">
      <alignment horizontal="center" vertical="center" wrapText="1"/>
    </xf>
    <xf numFmtId="0" fontId="118" fillId="0" borderId="78" xfId="53" applyFont="1" applyBorder="1" applyAlignment="1">
      <alignment horizontal="center" vertical="center" wrapText="1"/>
    </xf>
    <xf numFmtId="0" fontId="118" fillId="0" borderId="47" xfId="53" applyFont="1" applyBorder="1" applyAlignment="1">
      <alignment horizontal="center" vertical="center" wrapText="1"/>
    </xf>
    <xf numFmtId="0" fontId="118" fillId="0" borderId="38" xfId="53" applyFont="1" applyBorder="1" applyAlignment="1">
      <alignment horizontal="center" vertical="center" wrapText="1"/>
    </xf>
    <xf numFmtId="0" fontId="118" fillId="0" borderId="51" xfId="53" applyFont="1" applyBorder="1" applyAlignment="1">
      <alignment horizontal="center" vertical="center" wrapText="1"/>
    </xf>
    <xf numFmtId="0" fontId="118" fillId="18" borderId="27" xfId="53" applyFont="1" applyFill="1" applyBorder="1" applyAlignment="1">
      <alignment horizontal="center" vertical="center" wrapText="1"/>
    </xf>
    <xf numFmtId="0" fontId="118" fillId="18" borderId="45" xfId="53" applyFont="1" applyFill="1" applyBorder="1" applyAlignment="1">
      <alignment horizontal="center" vertical="center" wrapText="1"/>
    </xf>
    <xf numFmtId="0" fontId="118" fillId="18" borderId="20" xfId="53" applyFont="1" applyFill="1" applyBorder="1" applyAlignment="1">
      <alignment horizontal="center" vertical="center"/>
    </xf>
    <xf numFmtId="0" fontId="118" fillId="18" borderId="5" xfId="53" applyFont="1" applyFill="1" applyBorder="1" applyAlignment="1">
      <alignment horizontal="center" vertical="center"/>
    </xf>
    <xf numFmtId="0" fontId="118" fillId="0" borderId="32" xfId="53" applyFont="1" applyBorder="1" applyAlignment="1">
      <alignment horizontal="center" vertical="center" wrapText="1"/>
    </xf>
    <xf numFmtId="0" fontId="118" fillId="0" borderId="24" xfId="53" applyFont="1" applyBorder="1" applyAlignment="1">
      <alignment horizontal="center" vertical="center" wrapText="1"/>
    </xf>
    <xf numFmtId="0" fontId="118" fillId="0" borderId="1" xfId="53" applyFont="1" applyBorder="1" applyAlignment="1">
      <alignment horizontal="center" vertical="center" wrapText="1"/>
    </xf>
    <xf numFmtId="0" fontId="118" fillId="0" borderId="23" xfId="53" applyFont="1" applyBorder="1" applyAlignment="1">
      <alignment horizontal="center" vertical="center" wrapText="1"/>
    </xf>
    <xf numFmtId="0" fontId="118" fillId="18" borderId="79" xfId="53" applyFont="1" applyFill="1" applyBorder="1" applyAlignment="1">
      <alignment horizontal="center" vertical="center" wrapText="1"/>
    </xf>
    <xf numFmtId="0" fontId="118" fillId="18" borderId="31" xfId="53" applyFont="1" applyFill="1" applyBorder="1" applyAlignment="1">
      <alignment horizontal="center" vertical="center" wrapText="1"/>
    </xf>
    <xf numFmtId="0" fontId="118" fillId="18" borderId="32" xfId="53" applyFont="1" applyFill="1" applyBorder="1" applyAlignment="1">
      <alignment horizontal="center" vertical="center" wrapText="1"/>
    </xf>
    <xf numFmtId="0" fontId="118" fillId="18" borderId="9" xfId="53" applyFont="1" applyFill="1" applyBorder="1" applyAlignment="1">
      <alignment horizontal="center" vertical="center" wrapText="1"/>
    </xf>
    <xf numFmtId="0" fontId="118" fillId="18" borderId="40" xfId="53" applyFont="1" applyFill="1" applyBorder="1" applyAlignment="1">
      <alignment horizontal="center" vertical="center" wrapText="1"/>
    </xf>
    <xf numFmtId="0" fontId="118" fillId="18" borderId="20" xfId="53" applyFont="1" applyFill="1" applyBorder="1" applyAlignment="1">
      <alignment horizontal="center" vertical="center" wrapText="1"/>
    </xf>
    <xf numFmtId="0" fontId="118" fillId="0" borderId="20" xfId="53" applyFont="1" applyBorder="1" applyAlignment="1">
      <alignment horizontal="center" vertical="center" wrapText="1"/>
    </xf>
    <xf numFmtId="0" fontId="118" fillId="18" borderId="30" xfId="53" applyFont="1" applyFill="1" applyBorder="1" applyAlignment="1">
      <alignment horizontal="center" vertical="center" wrapText="1"/>
    </xf>
    <xf numFmtId="0" fontId="118" fillId="18" borderId="69" xfId="53" applyFont="1" applyFill="1" applyBorder="1" applyAlignment="1">
      <alignment horizontal="center" vertical="center" wrapText="1"/>
    </xf>
    <xf numFmtId="0" fontId="118" fillId="18" borderId="21" xfId="53" applyFont="1" applyFill="1" applyBorder="1" applyAlignment="1">
      <alignment horizontal="center" vertical="center" wrapText="1"/>
    </xf>
    <xf numFmtId="0" fontId="118" fillId="18" borderId="22" xfId="53" applyFont="1" applyFill="1" applyBorder="1" applyAlignment="1">
      <alignment horizontal="center" vertical="center" wrapText="1"/>
    </xf>
    <xf numFmtId="0" fontId="118" fillId="18" borderId="70" xfId="53" applyFont="1" applyFill="1" applyBorder="1" applyAlignment="1">
      <alignment horizontal="center" vertical="center" wrapText="1"/>
    </xf>
    <xf numFmtId="0" fontId="118" fillId="0" borderId="28" xfId="53" applyFont="1" applyBorder="1" applyAlignment="1">
      <alignment horizontal="center" vertical="center" wrapText="1"/>
    </xf>
    <xf numFmtId="0" fontId="118" fillId="0" borderId="9" xfId="53" applyFont="1" applyBorder="1" applyAlignment="1">
      <alignment horizontal="center" vertical="center" wrapText="1"/>
    </xf>
    <xf numFmtId="0" fontId="118" fillId="0" borderId="20" xfId="53" applyFont="1" applyBorder="1" applyAlignment="1">
      <alignment horizontal="center" vertical="center"/>
    </xf>
    <xf numFmtId="0" fontId="118" fillId="0" borderId="5" xfId="53" applyFont="1" applyBorder="1" applyAlignment="1">
      <alignment horizontal="center" vertical="center"/>
    </xf>
    <xf numFmtId="0" fontId="117" fillId="20" borderId="66" xfId="53" applyFont="1" applyFill="1" applyBorder="1" applyAlignment="1">
      <alignment horizontal="center" vertical="center" wrapText="1"/>
    </xf>
    <xf numFmtId="0" fontId="117" fillId="20" borderId="67" xfId="53" applyFont="1" applyFill="1" applyBorder="1" applyAlignment="1">
      <alignment horizontal="center" vertical="center" wrapText="1"/>
    </xf>
    <xf numFmtId="0" fontId="117" fillId="20" borderId="68" xfId="53" applyFont="1" applyFill="1" applyBorder="1" applyAlignment="1">
      <alignment horizontal="center" vertical="center" wrapText="1"/>
    </xf>
    <xf numFmtId="0" fontId="117" fillId="20" borderId="69" xfId="53" applyFont="1" applyFill="1" applyBorder="1" applyAlignment="1">
      <alignment horizontal="center" vertical="center" wrapText="1"/>
    </xf>
    <xf numFmtId="0" fontId="117" fillId="20" borderId="79" xfId="53" applyFont="1" applyFill="1" applyBorder="1" applyAlignment="1">
      <alignment horizontal="center" vertical="center" wrapText="1"/>
    </xf>
    <xf numFmtId="0" fontId="117" fillId="20" borderId="5" xfId="53" applyFont="1" applyFill="1" applyBorder="1" applyAlignment="1">
      <alignment horizontal="center" vertical="center" wrapText="1"/>
    </xf>
    <xf numFmtId="0" fontId="117" fillId="20" borderId="10" xfId="53" applyFont="1" applyFill="1" applyBorder="1" applyAlignment="1">
      <alignment horizontal="center" vertical="center" wrapText="1"/>
    </xf>
    <xf numFmtId="2" fontId="118" fillId="0" borderId="3" xfId="66" applyNumberFormat="1" applyFont="1" applyBorder="1" applyAlignment="1">
      <alignment horizontal="center" vertical="center" wrapText="1"/>
    </xf>
    <xf numFmtId="0" fontId="118" fillId="0" borderId="70" xfId="66" applyFont="1" applyBorder="1" applyAlignment="1">
      <alignment horizontal="center" vertical="center" wrapText="1"/>
    </xf>
    <xf numFmtId="0" fontId="118" fillId="0" borderId="71" xfId="66" applyFont="1" applyBorder="1" applyAlignment="1">
      <alignment horizontal="center" vertical="center" wrapText="1"/>
    </xf>
    <xf numFmtId="0" fontId="118" fillId="0" borderId="29" xfId="66" applyFont="1" applyBorder="1" applyAlignment="1">
      <alignment horizontal="center" vertical="center" wrapText="1"/>
    </xf>
    <xf numFmtId="0" fontId="118" fillId="18" borderId="28" xfId="66" applyFont="1" applyFill="1" applyBorder="1" applyAlignment="1">
      <alignment horizontal="center" vertical="center" wrapText="1"/>
    </xf>
    <xf numFmtId="0" fontId="118" fillId="18" borderId="9" xfId="66" applyFont="1" applyFill="1" applyBorder="1" applyAlignment="1">
      <alignment horizontal="center" vertical="center" wrapText="1"/>
    </xf>
    <xf numFmtId="0" fontId="118" fillId="18" borderId="5" xfId="66" applyFont="1" applyFill="1" applyBorder="1" applyAlignment="1">
      <alignment horizontal="center" vertical="center" wrapText="1"/>
    </xf>
    <xf numFmtId="2" fontId="118" fillId="18" borderId="2" xfId="66" applyNumberFormat="1" applyFont="1" applyFill="1" applyBorder="1" applyAlignment="1">
      <alignment horizontal="center" vertical="center" wrapText="1"/>
    </xf>
    <xf numFmtId="2" fontId="118" fillId="18" borderId="4" xfId="66" applyNumberFormat="1" applyFont="1" applyFill="1" applyBorder="1" applyAlignment="1">
      <alignment horizontal="center" vertical="center" wrapText="1"/>
    </xf>
    <xf numFmtId="0" fontId="117" fillId="20" borderId="70" xfId="53" applyFont="1" applyFill="1" applyBorder="1" applyAlignment="1">
      <alignment horizontal="center" vertical="center" wrapText="1"/>
    </xf>
    <xf numFmtId="0" fontId="117" fillId="20" borderId="55" xfId="53" applyFont="1" applyFill="1" applyBorder="1" applyAlignment="1">
      <alignment horizontal="center" vertical="center" wrapText="1"/>
    </xf>
    <xf numFmtId="0" fontId="118" fillId="18" borderId="55" xfId="66" applyFont="1" applyFill="1" applyBorder="1" applyAlignment="1">
      <alignment horizontal="left" vertical="center" wrapText="1"/>
    </xf>
    <xf numFmtId="0" fontId="118" fillId="18" borderId="71" xfId="66" applyFont="1" applyFill="1" applyBorder="1" applyAlignment="1">
      <alignment horizontal="left" vertical="center" wrapText="1"/>
    </xf>
    <xf numFmtId="0" fontId="118" fillId="18" borderId="2" xfId="66" applyFont="1" applyFill="1" applyBorder="1" applyAlignment="1">
      <alignment horizontal="right" vertical="center" wrapText="1"/>
    </xf>
    <xf numFmtId="0" fontId="118" fillId="18" borderId="4" xfId="66" applyFont="1" applyFill="1" applyBorder="1" applyAlignment="1">
      <alignment horizontal="right" vertical="center" wrapText="1"/>
    </xf>
    <xf numFmtId="0" fontId="118" fillId="18" borderId="64" xfId="66" applyFont="1" applyFill="1" applyBorder="1" applyAlignment="1">
      <alignment horizontal="left" vertical="center" wrapText="1"/>
    </xf>
    <xf numFmtId="0" fontId="118" fillId="18" borderId="26" xfId="66" applyFont="1" applyFill="1" applyBorder="1" applyAlignment="1">
      <alignment horizontal="left" vertical="center" wrapText="1"/>
    </xf>
    <xf numFmtId="0" fontId="118" fillId="18" borderId="70" xfId="66" applyFont="1" applyFill="1" applyBorder="1" applyAlignment="1">
      <alignment horizontal="center" vertical="center" wrapText="1"/>
    </xf>
    <xf numFmtId="0" fontId="118" fillId="18" borderId="71" xfId="66" applyFont="1" applyFill="1" applyBorder="1" applyAlignment="1">
      <alignment horizontal="center" vertical="center" wrapText="1"/>
    </xf>
    <xf numFmtId="0" fontId="118" fillId="18" borderId="29" xfId="66" applyFont="1" applyFill="1" applyBorder="1" applyAlignment="1">
      <alignment horizontal="center" vertical="center" wrapText="1"/>
    </xf>
    <xf numFmtId="0" fontId="0" fillId="18" borderId="21" xfId="0" applyFill="1" applyBorder="1" applyAlignment="1">
      <alignment horizontal="center" vertical="center"/>
    </xf>
    <xf numFmtId="0" fontId="0" fillId="18" borderId="22" xfId="0" applyFill="1" applyBorder="1" applyAlignment="1">
      <alignment horizontal="center" vertical="center"/>
    </xf>
    <xf numFmtId="0" fontId="118" fillId="0" borderId="69" xfId="66" applyFont="1" applyBorder="1" applyAlignment="1">
      <alignment horizontal="center" vertical="center" wrapText="1"/>
    </xf>
    <xf numFmtId="0" fontId="118" fillId="0" borderId="45" xfId="66" applyFont="1" applyBorder="1" applyAlignment="1">
      <alignment horizontal="center" vertical="center" wrapText="1"/>
    </xf>
    <xf numFmtId="0" fontId="118" fillId="0" borderId="44" xfId="66" applyFont="1" applyBorder="1" applyAlignment="1">
      <alignment horizontal="center" vertical="center" wrapText="1"/>
    </xf>
    <xf numFmtId="2" fontId="118" fillId="0" borderId="65" xfId="66" applyNumberFormat="1" applyFont="1" applyBorder="1" applyAlignment="1">
      <alignment horizontal="center" vertical="center" wrapText="1"/>
    </xf>
    <xf numFmtId="2" fontId="118" fillId="0" borderId="25" xfId="66" applyNumberFormat="1" applyFont="1" applyBorder="1" applyAlignment="1">
      <alignment horizontal="center" vertical="center" wrapText="1"/>
    </xf>
    <xf numFmtId="0" fontId="118" fillId="0" borderId="28" xfId="66" applyFont="1" applyBorder="1" applyAlignment="1">
      <alignment horizontal="center" vertical="center" wrapText="1"/>
    </xf>
    <xf numFmtId="0" fontId="118" fillId="0" borderId="9" xfId="66" applyFont="1" applyBorder="1" applyAlignment="1">
      <alignment horizontal="center" vertical="center" wrapText="1"/>
    </xf>
    <xf numFmtId="0" fontId="118" fillId="0" borderId="5" xfId="66" applyFont="1" applyBorder="1" applyAlignment="1">
      <alignment horizontal="center" vertical="center" wrapText="1"/>
    </xf>
    <xf numFmtId="0" fontId="118" fillId="18" borderId="45" xfId="66" applyFont="1" applyFill="1" applyBorder="1" applyAlignment="1">
      <alignment horizontal="center" vertical="center" wrapText="1"/>
    </xf>
    <xf numFmtId="0" fontId="118" fillId="18" borderId="44" xfId="66" applyFont="1" applyFill="1" applyBorder="1" applyAlignment="1">
      <alignment horizontal="center" vertical="center" wrapText="1"/>
    </xf>
    <xf numFmtId="0" fontId="118" fillId="18" borderId="16" xfId="66" applyFont="1" applyFill="1" applyBorder="1" applyAlignment="1">
      <alignment horizontal="right" vertical="center" wrapText="1"/>
    </xf>
    <xf numFmtId="0" fontId="118" fillId="18" borderId="11" xfId="66" applyFont="1" applyFill="1" applyBorder="1" applyAlignment="1">
      <alignment horizontal="right" vertical="center" wrapText="1"/>
    </xf>
    <xf numFmtId="2" fontId="118" fillId="0" borderId="16" xfId="66" applyNumberFormat="1" applyFont="1" applyBorder="1" applyAlignment="1">
      <alignment horizontal="center" vertical="center" wrapText="1"/>
    </xf>
    <xf numFmtId="2" fontId="118" fillId="0" borderId="11" xfId="66" applyNumberFormat="1" applyFont="1" applyBorder="1" applyAlignment="1">
      <alignment horizontal="center" vertical="center" wrapText="1"/>
    </xf>
    <xf numFmtId="0" fontId="118" fillId="18" borderId="27" xfId="66" applyFont="1" applyFill="1" applyBorder="1" applyAlignment="1">
      <alignment horizontal="center" vertical="center" wrapText="1"/>
    </xf>
    <xf numFmtId="2" fontId="118" fillId="18" borderId="20" xfId="66" applyNumberFormat="1" applyFont="1" applyFill="1" applyBorder="1" applyAlignment="1">
      <alignment horizontal="center" vertical="center" wrapText="1"/>
    </xf>
    <xf numFmtId="0" fontId="118" fillId="18" borderId="69" xfId="66" applyFont="1" applyFill="1" applyBorder="1" applyAlignment="1">
      <alignment horizontal="center" vertical="center" wrapText="1"/>
    </xf>
    <xf numFmtId="2" fontId="118" fillId="18" borderId="65" xfId="66" applyNumberFormat="1" applyFont="1" applyFill="1" applyBorder="1" applyAlignment="1">
      <alignment horizontal="center" vertical="center" wrapText="1"/>
    </xf>
    <xf numFmtId="2" fontId="118" fillId="18" borderId="25" xfId="66" applyNumberFormat="1" applyFont="1" applyFill="1" applyBorder="1" applyAlignment="1">
      <alignment horizontal="center" vertical="center" wrapText="1"/>
    </xf>
    <xf numFmtId="0" fontId="117" fillId="20" borderId="69" xfId="66" applyFont="1" applyFill="1" applyBorder="1" applyAlignment="1">
      <alignment horizontal="center" vertical="center" wrapText="1"/>
    </xf>
    <xf numFmtId="0" fontId="117" fillId="20" borderId="44" xfId="66" applyFont="1" applyFill="1" applyBorder="1" applyAlignment="1">
      <alignment horizontal="center" vertical="center" wrapText="1"/>
    </xf>
    <xf numFmtId="0" fontId="117" fillId="20" borderId="5" xfId="66" applyFont="1" applyFill="1" applyBorder="1" applyAlignment="1">
      <alignment horizontal="center" vertical="center" wrapText="1"/>
    </xf>
    <xf numFmtId="0" fontId="117" fillId="20" borderId="39" xfId="66" applyFont="1" applyFill="1" applyBorder="1" applyAlignment="1">
      <alignment horizontal="center" vertical="center" wrapText="1"/>
    </xf>
    <xf numFmtId="0" fontId="117" fillId="20" borderId="70" xfId="66" applyFont="1" applyFill="1" applyBorder="1" applyAlignment="1">
      <alignment horizontal="center" vertical="center" wrapText="1"/>
    </xf>
    <xf numFmtId="0" fontId="117" fillId="20" borderId="40" xfId="66" applyFont="1" applyFill="1" applyBorder="1" applyAlignment="1">
      <alignment horizontal="center" vertical="center" wrapText="1"/>
    </xf>
    <xf numFmtId="0" fontId="117" fillId="20" borderId="66" xfId="66" applyFont="1" applyFill="1" applyBorder="1" applyAlignment="1">
      <alignment horizontal="center" vertical="center" wrapText="1"/>
    </xf>
    <xf numFmtId="0" fontId="117" fillId="20" borderId="67" xfId="66" applyFont="1" applyFill="1" applyBorder="1" applyAlignment="1">
      <alignment horizontal="center" vertical="center" wrapText="1"/>
    </xf>
    <xf numFmtId="0" fontId="117" fillId="20" borderId="68" xfId="66" applyFont="1" applyFill="1" applyBorder="1" applyAlignment="1">
      <alignment horizontal="center" vertical="center" wrapText="1"/>
    </xf>
    <xf numFmtId="0" fontId="117" fillId="20" borderId="15" xfId="66" applyFont="1" applyFill="1" applyBorder="1" applyAlignment="1">
      <alignment horizontal="center" vertical="center" wrapText="1"/>
    </xf>
    <xf numFmtId="0" fontId="117" fillId="20" borderId="14" xfId="66" applyFont="1" applyFill="1" applyBorder="1" applyAlignment="1">
      <alignment horizontal="center" vertical="center" wrapText="1"/>
    </xf>
    <xf numFmtId="0" fontId="117" fillId="20" borderId="13" xfId="66" applyFont="1" applyFill="1" applyBorder="1" applyAlignment="1">
      <alignment horizontal="center" vertical="center" wrapText="1"/>
    </xf>
    <xf numFmtId="2" fontId="118" fillId="18" borderId="1" xfId="66" applyNumberFormat="1" applyFont="1" applyFill="1" applyBorder="1" applyAlignment="1">
      <alignment horizontal="center" vertical="center" wrapText="1"/>
    </xf>
    <xf numFmtId="0" fontId="123" fillId="0" borderId="1" xfId="66" applyFont="1" applyBorder="1" applyAlignment="1">
      <alignment horizontal="center" vertical="center" wrapText="1"/>
    </xf>
    <xf numFmtId="2" fontId="123" fillId="0" borderId="81" xfId="66" applyNumberFormat="1" applyFont="1" applyBorder="1" applyAlignment="1">
      <alignment horizontal="center" vertical="center" wrapText="1"/>
    </xf>
    <xf numFmtId="2" fontId="123" fillId="0" borderId="4" xfId="66" applyNumberFormat="1" applyFont="1" applyBorder="1" applyAlignment="1">
      <alignment horizontal="center" vertical="center" wrapText="1"/>
    </xf>
    <xf numFmtId="0" fontId="118" fillId="0" borderId="50" xfId="53" applyFont="1" applyBorder="1" applyAlignment="1">
      <alignment horizontal="center" vertical="center" wrapText="1"/>
    </xf>
    <xf numFmtId="0" fontId="118" fillId="0" borderId="33" xfId="53" applyFont="1" applyBorder="1" applyAlignment="1">
      <alignment horizontal="center" vertical="center" wrapText="1"/>
    </xf>
    <xf numFmtId="0" fontId="118" fillId="0" borderId="12" xfId="53" applyFont="1" applyBorder="1" applyAlignment="1">
      <alignment horizontal="center" vertical="center" wrapText="1"/>
    </xf>
    <xf numFmtId="0" fontId="118" fillId="0" borderId="49" xfId="53" applyFont="1" applyBorder="1" applyAlignment="1">
      <alignment horizontal="center" vertical="center" wrapText="1"/>
    </xf>
    <xf numFmtId="0" fontId="118" fillId="0" borderId="64" xfId="66" applyFont="1" applyBorder="1" applyAlignment="1">
      <alignment horizontal="center" vertical="center" wrapText="1"/>
    </xf>
    <xf numFmtId="0" fontId="118" fillId="0" borderId="26" xfId="66" applyFont="1" applyBorder="1" applyAlignment="1">
      <alignment horizontal="center" vertical="center" wrapText="1"/>
    </xf>
    <xf numFmtId="0" fontId="117" fillId="20" borderId="31" xfId="66" applyFont="1" applyFill="1" applyBorder="1" applyAlignment="1">
      <alignment horizontal="center" vertical="center" wrapText="1"/>
    </xf>
    <xf numFmtId="0" fontId="117" fillId="20" borderId="32" xfId="66" applyFont="1" applyFill="1" applyBorder="1" applyAlignment="1">
      <alignment horizontal="center" vertical="center" wrapText="1"/>
    </xf>
    <xf numFmtId="0" fontId="117" fillId="20" borderId="22" xfId="66" applyFont="1" applyFill="1" applyBorder="1" applyAlignment="1">
      <alignment horizontal="center" vertical="center" wrapText="1"/>
    </xf>
    <xf numFmtId="0" fontId="117" fillId="20" borderId="24" xfId="66" applyFont="1" applyFill="1" applyBorder="1" applyAlignment="1">
      <alignment horizontal="center" vertical="center" wrapText="1"/>
    </xf>
    <xf numFmtId="0" fontId="117" fillId="20" borderId="64" xfId="66" applyFont="1" applyFill="1" applyBorder="1" applyAlignment="1">
      <alignment horizontal="center" vertical="center" wrapText="1"/>
    </xf>
    <xf numFmtId="0" fontId="117" fillId="20" borderId="26" xfId="66" applyFont="1" applyFill="1" applyBorder="1" applyAlignment="1">
      <alignment horizontal="center" vertical="center" wrapText="1"/>
    </xf>
    <xf numFmtId="166" fontId="118" fillId="0" borderId="16" xfId="66" applyNumberFormat="1" applyFont="1" applyBorder="1" applyAlignment="1">
      <alignment horizontal="center" vertical="center" wrapText="1"/>
    </xf>
    <xf numFmtId="166" fontId="118" fillId="0" borderId="11" xfId="66" applyNumberFormat="1" applyFont="1" applyBorder="1" applyAlignment="1">
      <alignment horizontal="center" vertical="center" wrapText="1"/>
    </xf>
    <xf numFmtId="166" fontId="118" fillId="0" borderId="2" xfId="66" applyNumberFormat="1" applyFont="1" applyBorder="1" applyAlignment="1">
      <alignment horizontal="center" vertical="center" wrapText="1"/>
    </xf>
    <xf numFmtId="166" fontId="118" fillId="0" borderId="4" xfId="66" applyNumberFormat="1" applyFont="1" applyBorder="1" applyAlignment="1">
      <alignment horizontal="center" vertical="center" wrapText="1"/>
    </xf>
    <xf numFmtId="2" fontId="123" fillId="0" borderId="1" xfId="66" applyNumberFormat="1" applyFont="1" applyBorder="1" applyAlignment="1">
      <alignment horizontal="center" vertical="center" wrapText="1"/>
    </xf>
    <xf numFmtId="0" fontId="124" fillId="0" borderId="1" xfId="66" applyFont="1" applyBorder="1" applyAlignment="1">
      <alignment horizontal="center" vertical="center" wrapText="1"/>
    </xf>
    <xf numFmtId="0" fontId="117" fillId="24" borderId="2" xfId="67" applyFont="1" applyFill="1" applyBorder="1" applyAlignment="1">
      <alignment horizontal="center" vertical="center" wrapText="1"/>
    </xf>
    <xf numFmtId="0" fontId="117" fillId="24" borderId="3" xfId="67" applyFont="1" applyFill="1" applyBorder="1" applyAlignment="1">
      <alignment horizontal="center" vertical="center" wrapText="1"/>
    </xf>
    <xf numFmtId="0" fontId="117" fillId="24" borderId="66" xfId="67" applyFont="1" applyFill="1" applyBorder="1" applyAlignment="1">
      <alignment horizontal="center" vertical="center" wrapText="1"/>
    </xf>
    <xf numFmtId="0" fontId="117" fillId="24" borderId="67" xfId="67" applyFont="1" applyFill="1" applyBorder="1" applyAlignment="1">
      <alignment horizontal="center" vertical="center" wrapText="1"/>
    </xf>
    <xf numFmtId="0" fontId="117" fillId="24" borderId="68" xfId="67" applyFont="1" applyFill="1" applyBorder="1" applyAlignment="1">
      <alignment horizontal="center" vertical="center" wrapText="1"/>
    </xf>
    <xf numFmtId="0" fontId="38" fillId="17" borderId="50" xfId="0" applyFont="1" applyFill="1" applyBorder="1" applyAlignment="1">
      <alignment horizontal="center"/>
    </xf>
    <xf numFmtId="0" fontId="38" fillId="17" borderId="34" xfId="0" applyFont="1" applyFill="1" applyBorder="1" applyAlignment="1">
      <alignment horizontal="center"/>
    </xf>
    <xf numFmtId="0" fontId="38" fillId="17" borderId="35" xfId="0" applyFont="1" applyFill="1" applyBorder="1" applyAlignment="1">
      <alignment horizontal="center"/>
    </xf>
    <xf numFmtId="0" fontId="38" fillId="17" borderId="41" xfId="0" applyFont="1" applyFill="1" applyBorder="1" applyAlignment="1">
      <alignment horizontal="center"/>
    </xf>
    <xf numFmtId="0" fontId="118" fillId="18" borderId="44" xfId="53" applyFont="1" applyFill="1" applyBorder="1" applyAlignment="1">
      <alignment horizontal="center" vertical="center" wrapText="1"/>
    </xf>
    <xf numFmtId="0" fontId="118" fillId="0" borderId="5" xfId="54" applyFont="1" applyBorder="1" applyAlignment="1">
      <alignment horizontal="center" vertical="center" wrapText="1"/>
    </xf>
    <xf numFmtId="0" fontId="118" fillId="0" borderId="9" xfId="54" applyFont="1" applyBorder="1" applyAlignment="1">
      <alignment horizontal="center" vertical="center" wrapText="1"/>
    </xf>
    <xf numFmtId="0" fontId="118" fillId="0" borderId="1" xfId="66" applyFont="1" applyBorder="1" applyAlignment="1">
      <alignment horizontal="center" vertical="center" wrapText="1"/>
    </xf>
    <xf numFmtId="2" fontId="123" fillId="0" borderId="2" xfId="66" applyNumberFormat="1" applyFont="1" applyBorder="1" applyAlignment="1">
      <alignment horizontal="center" vertical="center" wrapText="1"/>
    </xf>
    <xf numFmtId="0" fontId="4" fillId="0" borderId="55" xfId="52" applyFont="1" applyBorder="1" applyAlignment="1">
      <alignment horizontal="center" vertical="center" wrapText="1"/>
    </xf>
    <xf numFmtId="0" fontId="4" fillId="0" borderId="30" xfId="52" applyFont="1" applyBorder="1" applyAlignment="1">
      <alignment horizontal="center" vertical="center" wrapText="1"/>
    </xf>
    <xf numFmtId="0" fontId="4" fillId="0" borderId="32" xfId="52" applyFont="1" applyBorder="1" applyAlignment="1">
      <alignment horizontal="center" vertical="center" wrapText="1"/>
    </xf>
    <xf numFmtId="0" fontId="4" fillId="0" borderId="52" xfId="52" applyFont="1" applyBorder="1" applyAlignment="1">
      <alignment horizontal="center" vertical="center" wrapText="1"/>
    </xf>
    <xf numFmtId="0" fontId="4" fillId="0" borderId="53" xfId="52" applyFont="1" applyBorder="1" applyAlignment="1">
      <alignment horizontal="center" vertical="center" wrapText="1"/>
    </xf>
    <xf numFmtId="0" fontId="4" fillId="0" borderId="54" xfId="52" applyFont="1" applyBorder="1" applyAlignment="1">
      <alignment horizontal="center" vertical="center" wrapText="1"/>
    </xf>
    <xf numFmtId="0" fontId="4" fillId="0" borderId="32" xfId="52" applyFont="1" applyBorder="1" applyAlignment="1">
      <alignment horizontal="center" vertical="center"/>
    </xf>
    <xf numFmtId="0" fontId="42" fillId="0" borderId="50" xfId="0" applyFont="1" applyBorder="1" applyAlignment="1">
      <alignment horizontal="center" vertical="center"/>
    </xf>
    <xf numFmtId="0" fontId="42" fillId="0" borderId="51" xfId="0" applyFont="1" applyBorder="1" applyAlignment="1">
      <alignment horizontal="center" vertical="center"/>
    </xf>
    <xf numFmtId="0" fontId="42" fillId="0" borderId="46" xfId="0" applyFont="1" applyBorder="1" applyAlignment="1">
      <alignment horizontal="center" vertical="center" wrapText="1"/>
    </xf>
    <xf numFmtId="0" fontId="42" fillId="0" borderId="47"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33" xfId="0" applyFont="1" applyBorder="1" applyAlignment="1">
      <alignment horizontal="center" wrapText="1"/>
    </xf>
    <xf numFmtId="0" fontId="42" fillId="0" borderId="49" xfId="0" applyFont="1" applyBorder="1" applyAlignment="1">
      <alignment horizontal="center" wrapText="1"/>
    </xf>
    <xf numFmtId="0" fontId="4" fillId="0" borderId="29" xfId="52" applyFont="1" applyBorder="1" applyAlignment="1">
      <alignment horizontal="center" vertical="center" wrapText="1"/>
    </xf>
    <xf numFmtId="0" fontId="4" fillId="0" borderId="40" xfId="52" applyFont="1" applyBorder="1" applyAlignment="1">
      <alignment horizontal="center" vertical="center" wrapText="1"/>
    </xf>
  </cellXfs>
  <cellStyles count="70">
    <cellStyle name="0,0_x000d__x000a_NA_x000d__x000a_" xfId="1" xr:uid="{00000000-0005-0000-0000-000000000000}"/>
    <cellStyle name="0,0_x000d__x000a_NA_x000d__x000a_ 2" xfId="2" xr:uid="{00000000-0005-0000-0000-000001000000}"/>
    <cellStyle name="Calculation" xfId="68" builtinId="22"/>
    <cellStyle name="Comma" xfId="3" builtinId="3"/>
    <cellStyle name="Comma 10" xfId="4" xr:uid="{00000000-0005-0000-0000-000003000000}"/>
    <cellStyle name="Comma 10 2" xfId="5" xr:uid="{00000000-0005-0000-0000-000004000000}"/>
    <cellStyle name="Comma 10 2 2" xfId="6" xr:uid="{00000000-0005-0000-0000-000005000000}"/>
    <cellStyle name="Comma 10 3" xfId="7" xr:uid="{00000000-0005-0000-0000-000006000000}"/>
    <cellStyle name="Comma 10 4" xfId="8" xr:uid="{00000000-0005-0000-0000-000007000000}"/>
    <cellStyle name="Comma 11" xfId="9" xr:uid="{00000000-0005-0000-0000-000008000000}"/>
    <cellStyle name="Comma 11 2" xfId="10" xr:uid="{00000000-0005-0000-0000-000009000000}"/>
    <cellStyle name="Comma 11 2 2" xfId="11" xr:uid="{00000000-0005-0000-0000-00000A000000}"/>
    <cellStyle name="Comma 11 3" xfId="12" xr:uid="{00000000-0005-0000-0000-00000B000000}"/>
    <cellStyle name="Comma 11 4" xfId="13" xr:uid="{00000000-0005-0000-0000-00000C000000}"/>
    <cellStyle name="Comma 12" xfId="14" xr:uid="{00000000-0005-0000-0000-00000D000000}"/>
    <cellStyle name="Comma 12 2" xfId="15" xr:uid="{00000000-0005-0000-0000-00000E000000}"/>
    <cellStyle name="Comma 12 2 2" xfId="16" xr:uid="{00000000-0005-0000-0000-00000F000000}"/>
    <cellStyle name="Comma 12 3" xfId="17" xr:uid="{00000000-0005-0000-0000-000010000000}"/>
    <cellStyle name="Comma 12 4" xfId="18" xr:uid="{00000000-0005-0000-0000-000011000000}"/>
    <cellStyle name="Comma 13" xfId="19" xr:uid="{00000000-0005-0000-0000-000012000000}"/>
    <cellStyle name="Comma 2" xfId="20" xr:uid="{00000000-0005-0000-0000-000013000000}"/>
    <cellStyle name="Comma 3" xfId="21" xr:uid="{00000000-0005-0000-0000-000014000000}"/>
    <cellStyle name="Comma 4" xfId="22" xr:uid="{00000000-0005-0000-0000-000015000000}"/>
    <cellStyle name="Comma 5" xfId="23" xr:uid="{00000000-0005-0000-0000-000016000000}"/>
    <cellStyle name="Comma 6" xfId="24" xr:uid="{00000000-0005-0000-0000-000017000000}"/>
    <cellStyle name="Comma 7" xfId="25" xr:uid="{00000000-0005-0000-0000-000018000000}"/>
    <cellStyle name="Comma 8" xfId="26" xr:uid="{00000000-0005-0000-0000-000019000000}"/>
    <cellStyle name="Comma 9" xfId="27" xr:uid="{00000000-0005-0000-0000-00001A000000}"/>
    <cellStyle name="Comma 9 2" xfId="28" xr:uid="{00000000-0005-0000-0000-00001B000000}"/>
    <cellStyle name="Currency" xfId="29" builtinId="4"/>
    <cellStyle name="Currency 2" xfId="30" xr:uid="{00000000-0005-0000-0000-00001D000000}"/>
    <cellStyle name="Currency 2 2" xfId="31" xr:uid="{00000000-0005-0000-0000-00001E000000}"/>
    <cellStyle name="Currency 3" xfId="32" xr:uid="{00000000-0005-0000-0000-00001F000000}"/>
    <cellStyle name="Currency 3 2" xfId="33" xr:uid="{00000000-0005-0000-0000-000020000000}"/>
    <cellStyle name="Currency 3 2 2" xfId="34" xr:uid="{00000000-0005-0000-0000-000021000000}"/>
    <cellStyle name="Currency 3 3" xfId="35" xr:uid="{00000000-0005-0000-0000-000022000000}"/>
    <cellStyle name="Currency 3 4" xfId="36" xr:uid="{00000000-0005-0000-0000-000023000000}"/>
    <cellStyle name="Currency 4" xfId="37" xr:uid="{00000000-0005-0000-0000-000024000000}"/>
    <cellStyle name="Currency 4 2" xfId="38" xr:uid="{00000000-0005-0000-0000-000025000000}"/>
    <cellStyle name="Currency 4 2 2" xfId="39" xr:uid="{00000000-0005-0000-0000-000026000000}"/>
    <cellStyle name="Currency 4 3" xfId="40" xr:uid="{00000000-0005-0000-0000-000027000000}"/>
    <cellStyle name="Currency 4 4" xfId="41" xr:uid="{00000000-0005-0000-0000-000028000000}"/>
    <cellStyle name="Currency 5" xfId="42" xr:uid="{00000000-0005-0000-0000-000029000000}"/>
    <cellStyle name="Currency 5 2" xfId="43" xr:uid="{00000000-0005-0000-0000-00002A000000}"/>
    <cellStyle name="Currency 5 2 2" xfId="44" xr:uid="{00000000-0005-0000-0000-00002B000000}"/>
    <cellStyle name="Currency 5 2 3" xfId="45" xr:uid="{00000000-0005-0000-0000-00002C000000}"/>
    <cellStyle name="Currency 5 3" xfId="46" xr:uid="{00000000-0005-0000-0000-00002D000000}"/>
    <cellStyle name="Currency 5 4" xfId="47" xr:uid="{00000000-0005-0000-0000-00002E000000}"/>
    <cellStyle name="Currency 6" xfId="48" xr:uid="{00000000-0005-0000-0000-00002F000000}"/>
    <cellStyle name="Hyperlink" xfId="49" builtinId="8"/>
    <cellStyle name="Hyperlink 2" xfId="50" xr:uid="{00000000-0005-0000-0000-000031000000}"/>
    <cellStyle name="Hyperlink 3" xfId="51" xr:uid="{00000000-0005-0000-0000-000032000000}"/>
    <cellStyle name="Normal" xfId="0" builtinId="0"/>
    <cellStyle name="Normal 10 5" xfId="67" xr:uid="{829E32A8-A554-4D11-B4A4-FC3909715CE5}"/>
    <cellStyle name="Normal 2" xfId="52" xr:uid="{00000000-0005-0000-0000-000034000000}"/>
    <cellStyle name="Normal 2 2" xfId="53" xr:uid="{00000000-0005-0000-0000-000035000000}"/>
    <cellStyle name="Normal 2 3" xfId="54" xr:uid="{00000000-0005-0000-0000-000036000000}"/>
    <cellStyle name="Normal 2 7" xfId="66" xr:uid="{2ED73100-706E-4AF5-B845-A39C7A8FA220}"/>
    <cellStyle name="Normal 2_Wattage Table" xfId="55" xr:uid="{00000000-0005-0000-0000-000037000000}"/>
    <cellStyle name="Normal 3" xfId="56" xr:uid="{00000000-0005-0000-0000-000038000000}"/>
    <cellStyle name="Normal 5 10 2 3" xfId="69" xr:uid="{C9E8EB1C-1AE0-4F12-8F49-0ACA87020D07}"/>
    <cellStyle name="Percent" xfId="57" builtinId="5"/>
    <cellStyle name="Percent 2" xfId="58" xr:uid="{00000000-0005-0000-0000-00003D000000}"/>
    <cellStyle name="Percent 3" xfId="59" xr:uid="{00000000-0005-0000-0000-00003E000000}"/>
    <cellStyle name="Percent 4" xfId="60" xr:uid="{00000000-0005-0000-0000-00003F000000}"/>
    <cellStyle name="Percent 5" xfId="61" xr:uid="{00000000-0005-0000-0000-000040000000}"/>
    <cellStyle name="Percent 6" xfId="62" xr:uid="{00000000-0005-0000-0000-000041000000}"/>
    <cellStyle name="Percent 7" xfId="63" xr:uid="{00000000-0005-0000-0000-000042000000}"/>
    <cellStyle name="Percent 8" xfId="64" xr:uid="{00000000-0005-0000-0000-000043000000}"/>
    <cellStyle name="Percent 9" xfId="65" xr:uid="{00000000-0005-0000-0000-000044000000}"/>
  </cellStyles>
  <dxfs count="28">
    <dxf>
      <font>
        <color rgb="FFFF0000"/>
      </font>
    </dxf>
    <dxf>
      <font>
        <color rgb="FFFF0000"/>
      </font>
    </dxf>
    <dxf>
      <font>
        <color rgb="FFFF0000"/>
      </font>
    </dxf>
    <dxf>
      <font>
        <color rgb="FFFF0000"/>
      </font>
    </dxf>
    <dxf>
      <font>
        <b/>
        <i val="0"/>
        <color theme="3"/>
      </font>
    </dxf>
    <dxf>
      <font>
        <color rgb="FFFF0000"/>
      </font>
      <fill>
        <patternFill>
          <bgColor rgb="FFFFFF00"/>
        </patternFill>
      </fill>
    </dxf>
    <dxf>
      <font>
        <color rgb="FFFF0000"/>
        <name val="Cambria"/>
        <scheme val="none"/>
      </font>
      <fill>
        <patternFill>
          <bgColor rgb="FFFFFF00"/>
        </patternFill>
      </fill>
    </dxf>
    <dxf>
      <font>
        <color rgb="FFFF0000"/>
        <name val="Cambria"/>
        <scheme val="none"/>
      </font>
      <fill>
        <patternFill>
          <bgColor rgb="FFFFFF00"/>
        </patternFill>
      </fill>
    </dxf>
    <dxf>
      <font>
        <color rgb="FFFF0000"/>
      </font>
    </dxf>
    <dxf>
      <font>
        <color rgb="FFFF0000"/>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FF0000"/>
      </font>
    </dxf>
    <dxf>
      <font>
        <color rgb="FFFF0000"/>
      </font>
      <fill>
        <patternFill>
          <bgColor rgb="FFFFFF00"/>
        </patternFill>
      </fill>
    </dxf>
    <dxf>
      <font>
        <color rgb="FFFF0000"/>
        <name val="Cambria"/>
        <scheme val="none"/>
      </font>
      <fill>
        <patternFill>
          <bgColor rgb="FFFFFF00"/>
        </patternFill>
      </fill>
    </dxf>
    <dxf>
      <fill>
        <patternFill>
          <bgColor theme="0" tint="-0.14996795556505021"/>
        </patternFill>
      </fill>
    </dxf>
    <dxf>
      <fill>
        <patternFill>
          <bgColor theme="0" tint="-0.14996795556505021"/>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dxf>
    <dxf>
      <font>
        <color rgb="FF9C0006"/>
      </font>
    </dxf>
  </dxfs>
  <tableStyles count="0" defaultTableStyle="TableStyleMedium2" defaultPivotStyle="PivotStyleLight16"/>
  <colors>
    <mruColors>
      <color rgb="FF142D42"/>
      <color rgb="FFFF3300"/>
      <color rgb="FFD94F00"/>
      <color rgb="FF063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1.png"/><Relationship Id="rId5" Type="http://schemas.openxmlformats.org/officeDocument/2006/relationships/image" Target="../media/image6.jpeg"/><Relationship Id="rId10" Type="http://schemas.openxmlformats.org/officeDocument/2006/relationships/image" Target="../media/image1.pn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8</xdr:col>
      <xdr:colOff>846452</xdr:colOff>
      <xdr:row>0</xdr:row>
      <xdr:rowOff>188258</xdr:rowOff>
    </xdr:from>
    <xdr:to>
      <xdr:col>15</xdr:col>
      <xdr:colOff>0</xdr:colOff>
      <xdr:row>2</xdr:row>
      <xdr:rowOff>47625</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6102" y="188258"/>
          <a:ext cx="5049523" cy="1116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123825</xdr:colOff>
      <xdr:row>0</xdr:row>
      <xdr:rowOff>142875</xdr:rowOff>
    </xdr:from>
    <xdr:to>
      <xdr:col>13</xdr:col>
      <xdr:colOff>0</xdr:colOff>
      <xdr:row>1</xdr:row>
      <xdr:rowOff>469661</xdr:rowOff>
    </xdr:to>
    <xdr:pic>
      <xdr:nvPicPr>
        <xdr:cNvPr id="2" name="Picture 1">
          <a:extLst>
            <a:ext uri="{FF2B5EF4-FFF2-40B4-BE49-F238E27FC236}">
              <a16:creationId xmlns:a16="http://schemas.microsoft.com/office/drawing/2014/main" id="{365BB87C-DF5E-4DC4-9CC8-4EA27AB8DF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5175" y="142875"/>
          <a:ext cx="4610100" cy="958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2266950</xdr:colOff>
          <xdr:row>14</xdr:row>
          <xdr:rowOff>9525</xdr:rowOff>
        </xdr:from>
        <xdr:to>
          <xdr:col>10</xdr:col>
          <xdr:colOff>38100</xdr:colOff>
          <xdr:row>18</xdr:row>
          <xdr:rowOff>180975</xdr:rowOff>
        </xdr:to>
        <xdr:sp macro="" textlink="">
          <xdr:nvSpPr>
            <xdr:cNvPr id="26637" name="Group Box 13" hidden="1">
              <a:extLst>
                <a:ext uri="{63B3BB69-23CF-44E3-9099-C40C66FF867C}">
                  <a14:compatExt spid="_x0000_s26637"/>
                </a:ext>
                <a:ext uri="{FF2B5EF4-FFF2-40B4-BE49-F238E27FC236}">
                  <a16:creationId xmlns:a16="http://schemas.microsoft.com/office/drawing/2014/main" id="{00000000-0008-0000-0100-00000D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1828800</xdr:colOff>
          <xdr:row>10</xdr:row>
          <xdr:rowOff>895350</xdr:rowOff>
        </xdr:from>
        <xdr:to>
          <xdr:col>9</xdr:col>
          <xdr:colOff>38100</xdr:colOff>
          <xdr:row>13</xdr:row>
          <xdr:rowOff>123825</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01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1286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17</xdr:row>
          <xdr:rowOff>0</xdr:rowOff>
        </xdr:from>
        <xdr:to>
          <xdr:col>5</xdr:col>
          <xdr:colOff>314325</xdr:colOff>
          <xdr:row>18</xdr:row>
          <xdr:rowOff>161925</xdr:rowOff>
        </xdr:to>
        <xdr:sp macro="" textlink="">
          <xdr:nvSpPr>
            <xdr:cNvPr id="26658" name="Group Box 34" hidden="1">
              <a:extLst>
                <a:ext uri="{63B3BB69-23CF-44E3-9099-C40C66FF867C}">
                  <a14:compatExt spid="_x0000_s26658"/>
                </a:ext>
                <a:ext uri="{FF2B5EF4-FFF2-40B4-BE49-F238E27FC236}">
                  <a16:creationId xmlns:a16="http://schemas.microsoft.com/office/drawing/2014/main" id="{00000000-0008-0000-0100-00002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2581275</xdr:colOff>
          <xdr:row>19</xdr:row>
          <xdr:rowOff>0</xdr:rowOff>
        </xdr:from>
        <xdr:to>
          <xdr:col>5</xdr:col>
          <xdr:colOff>314325</xdr:colOff>
          <xdr:row>20</xdr:row>
          <xdr:rowOff>219075</xdr:rowOff>
        </xdr:to>
        <xdr:sp macro="" textlink="">
          <xdr:nvSpPr>
            <xdr:cNvPr id="26660" name="Group Box 36" hidden="1">
              <a:extLst>
                <a:ext uri="{63B3BB69-23CF-44E3-9099-C40C66FF867C}">
                  <a14:compatExt spid="_x0000_s26660"/>
                </a:ext>
                <a:ext uri="{FF2B5EF4-FFF2-40B4-BE49-F238E27FC236}">
                  <a16:creationId xmlns:a16="http://schemas.microsoft.com/office/drawing/2014/main" id="{00000000-0008-0000-0100-00002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xdr:twoCellAnchor editAs="oneCell">
    <xdr:from>
      <xdr:col>8</xdr:col>
      <xdr:colOff>512810</xdr:colOff>
      <xdr:row>0</xdr:row>
      <xdr:rowOff>35630</xdr:rowOff>
    </xdr:from>
    <xdr:to>
      <xdr:col>13</xdr:col>
      <xdr:colOff>425450</xdr:colOff>
      <xdr:row>1</xdr:row>
      <xdr:rowOff>466724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89835" y="35630"/>
          <a:ext cx="4694190" cy="1059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333375</xdr:colOff>
          <xdr:row>17</xdr:row>
          <xdr:rowOff>0</xdr:rowOff>
        </xdr:from>
        <xdr:to>
          <xdr:col>13</xdr:col>
          <xdr:colOff>0</xdr:colOff>
          <xdr:row>18</xdr:row>
          <xdr:rowOff>161925</xdr:rowOff>
        </xdr:to>
        <xdr:sp macro="" textlink="">
          <xdr:nvSpPr>
            <xdr:cNvPr id="26663" name="Group Box 39" hidden="1">
              <a:extLst>
                <a:ext uri="{63B3BB69-23CF-44E3-9099-C40C66FF867C}">
                  <a14:compatExt spid="_x0000_s26663"/>
                </a:ext>
                <a:ext uri="{FF2B5EF4-FFF2-40B4-BE49-F238E27FC236}">
                  <a16:creationId xmlns:a16="http://schemas.microsoft.com/office/drawing/2014/main" id="{00000000-0008-0000-0100-00002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34</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847094</xdr:colOff>
      <xdr:row>0</xdr:row>
      <xdr:rowOff>184105</xdr:rowOff>
    </xdr:from>
    <xdr:to>
      <xdr:col>11</xdr:col>
      <xdr:colOff>0</xdr:colOff>
      <xdr:row>1</xdr:row>
      <xdr:rowOff>400050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4819" y="184105"/>
          <a:ext cx="3677281" cy="84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838200</xdr:colOff>
      <xdr:row>0</xdr:row>
      <xdr:rowOff>239101</xdr:rowOff>
    </xdr:from>
    <xdr:to>
      <xdr:col>12</xdr:col>
      <xdr:colOff>0</xdr:colOff>
      <xdr:row>2</xdr:row>
      <xdr:rowOff>8442</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00725" y="239101"/>
          <a:ext cx="4819650" cy="1029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xdr:colOff>
      <xdr:row>9</xdr:row>
      <xdr:rowOff>635</xdr:rowOff>
    </xdr:from>
    <xdr:to>
      <xdr:col>2</xdr:col>
      <xdr:colOff>1854398</xdr:colOff>
      <xdr:row>10</xdr:row>
      <xdr:rowOff>8899</xdr:rowOff>
    </xdr:to>
    <xdr:sp macro="" textlink="">
      <xdr:nvSpPr>
        <xdr:cNvPr id="2" name="Check Box 15" hidden="1">
          <a:extLst>
            <a:ext uri="{FF2B5EF4-FFF2-40B4-BE49-F238E27FC236}">
              <a16:creationId xmlns:a16="http://schemas.microsoft.com/office/drawing/2014/main" id="{00000000-0008-0000-0400-000002000000}"/>
            </a:ext>
          </a:extLst>
        </xdr:cNvPr>
        <xdr:cNvSpPr/>
      </xdr:nvSpPr>
      <xdr:spPr>
        <a:xfrm>
          <a:off x="1173480" y="3171825"/>
          <a:ext cx="581464" cy="219075"/>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256</xdr:col>
          <xdr:colOff>0</xdr:colOff>
          <xdr:row>3</xdr:row>
          <xdr:rowOff>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3</xdr:row>
          <xdr:rowOff>0</xdr:rowOff>
        </xdr:from>
        <xdr:to>
          <xdr:col>256</xdr:col>
          <xdr:colOff>0</xdr:colOff>
          <xdr:row>3</xdr:row>
          <xdr:rowOff>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5</xdr:row>
          <xdr:rowOff>66675</xdr:rowOff>
        </xdr:from>
        <xdr:to>
          <xdr:col>3</xdr:col>
          <xdr:colOff>0</xdr:colOff>
          <xdr:row>6</xdr:row>
          <xdr:rowOff>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Assignment Letter (only required if rebate is assigned to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6</xdr:row>
          <xdr:rowOff>66675</xdr:rowOff>
        </xdr:from>
        <xdr:to>
          <xdr:col>3</xdr:col>
          <xdr:colOff>0</xdr:colOff>
          <xdr:row>7</xdr:row>
          <xdr:rowOff>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12</xdr:row>
          <xdr:rowOff>66675</xdr:rowOff>
        </xdr:from>
        <xdr:to>
          <xdr:col>3</xdr:col>
          <xdr:colOff>0</xdr:colOff>
          <xdr:row>13</xdr:row>
          <xdr:rowOff>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Proof of Payment (reflecting total installed cost)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8</xdr:row>
          <xdr:rowOff>47625</xdr:rowOff>
        </xdr:from>
        <xdr:to>
          <xdr:col>3</xdr:col>
          <xdr:colOff>0</xdr:colOff>
          <xdr:row>9</xdr:row>
          <xdr:rowOff>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13</xdr:row>
          <xdr:rowOff>66675</xdr:rowOff>
        </xdr:from>
        <xdr:to>
          <xdr:col>3</xdr:col>
          <xdr:colOff>0</xdr:colOff>
          <xdr:row>14</xdr:row>
          <xdr:rowOff>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Certification of Completion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11</xdr:row>
          <xdr:rowOff>66675</xdr:rowOff>
        </xdr:from>
        <xdr:to>
          <xdr:col>3</xdr:col>
          <xdr:colOff>0</xdr:colOff>
          <xdr:row>12</xdr:row>
          <xdr:rowOff>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Pre-Inspection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9</xdr:row>
          <xdr:rowOff>66675</xdr:rowOff>
        </xdr:from>
        <xdr:to>
          <xdr:col>3</xdr:col>
          <xdr:colOff>0</xdr:colOff>
          <xdr:row>10</xdr:row>
          <xdr:rowOff>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76200</xdr:rowOff>
        </xdr:from>
        <xdr:to>
          <xdr:col>3</xdr:col>
          <xdr:colOff>9525</xdr:colOff>
          <xdr:row>10</xdr:row>
          <xdr:rowOff>219075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1200150</xdr:colOff>
          <xdr:row>7</xdr:row>
          <xdr:rowOff>66675</xdr:rowOff>
        </xdr:from>
        <xdr:to>
          <xdr:col>3</xdr:col>
          <xdr:colOff>0</xdr:colOff>
          <xdr:row>8</xdr:row>
          <xdr:rowOff>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Signed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57150</xdr:rowOff>
        </xdr:from>
        <xdr:to>
          <xdr:col>2</xdr:col>
          <xdr:colOff>2133600</xdr:colOff>
          <xdr:row>15</xdr:row>
          <xdr:rowOff>47625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4</xdr:col>
      <xdr:colOff>801687</xdr:colOff>
      <xdr:row>0</xdr:row>
      <xdr:rowOff>201611</xdr:rowOff>
    </xdr:from>
    <xdr:to>
      <xdr:col>8</xdr:col>
      <xdr:colOff>0</xdr:colOff>
      <xdr:row>1</xdr:row>
      <xdr:rowOff>478825</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1375" y="201611"/>
          <a:ext cx="4111625" cy="9042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923925</xdr:colOff>
          <xdr:row>18</xdr:row>
          <xdr:rowOff>19050</xdr:rowOff>
        </xdr:from>
        <xdr:to>
          <xdr:col>2</xdr:col>
          <xdr:colOff>2095500</xdr:colOff>
          <xdr:row>19</xdr:row>
          <xdr:rowOff>9525</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Manual N Load Calculations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18</xdr:row>
          <xdr:rowOff>219075</xdr:rowOff>
        </xdr:from>
        <xdr:to>
          <xdr:col>2</xdr:col>
          <xdr:colOff>2085975</xdr:colOff>
          <xdr:row>19</xdr:row>
          <xdr:rowOff>209550</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AHRI Certificate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914400</xdr:colOff>
          <xdr:row>19</xdr:row>
          <xdr:rowOff>180975</xdr:rowOff>
        </xdr:from>
        <xdr:to>
          <xdr:col>2</xdr:col>
          <xdr:colOff>2095500</xdr:colOff>
          <xdr:row>20</xdr:row>
          <xdr:rowOff>180975</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NEEP Certificate (for all ccASHP projects)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452438</xdr:colOff>
      <xdr:row>14</xdr:row>
      <xdr:rowOff>226219</xdr:rowOff>
    </xdr:from>
    <xdr:to>
      <xdr:col>3</xdr:col>
      <xdr:colOff>2421544</xdr:colOff>
      <xdr:row>16</xdr:row>
      <xdr:rowOff>202406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2219" y="5095875"/>
          <a:ext cx="1969106" cy="1357312"/>
        </a:xfrm>
        <a:prstGeom prst="rect">
          <a:avLst/>
        </a:prstGeom>
      </xdr:spPr>
    </xdr:pic>
    <xdr:clientData/>
  </xdr:twoCellAnchor>
  <xdr:twoCellAnchor editAs="oneCell">
    <xdr:from>
      <xdr:col>3</xdr:col>
      <xdr:colOff>404812</xdr:colOff>
      <xdr:row>17</xdr:row>
      <xdr:rowOff>47625</xdr:rowOff>
    </xdr:from>
    <xdr:to>
      <xdr:col>3</xdr:col>
      <xdr:colOff>2351087</xdr:colOff>
      <xdr:row>17</xdr:row>
      <xdr:rowOff>1773360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4593" y="6988969"/>
          <a:ext cx="1952625" cy="1725735"/>
        </a:xfrm>
        <a:prstGeom prst="rect">
          <a:avLst/>
        </a:prstGeom>
      </xdr:spPr>
    </xdr:pic>
    <xdr:clientData/>
  </xdr:twoCellAnchor>
  <xdr:twoCellAnchor editAs="oneCell">
    <xdr:from>
      <xdr:col>3</xdr:col>
      <xdr:colOff>523875</xdr:colOff>
      <xdr:row>19</xdr:row>
      <xdr:rowOff>369093</xdr:rowOff>
    </xdr:from>
    <xdr:to>
      <xdr:col>3</xdr:col>
      <xdr:colOff>2311463</xdr:colOff>
      <xdr:row>22</xdr:row>
      <xdr:rowOff>59531</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83656" y="10072687"/>
          <a:ext cx="1793938" cy="1535906"/>
        </a:xfrm>
        <a:prstGeom prst="rect">
          <a:avLst/>
        </a:prstGeom>
      </xdr:spPr>
    </xdr:pic>
    <xdr:clientData/>
  </xdr:twoCellAnchor>
  <xdr:twoCellAnchor editAs="oneCell">
    <xdr:from>
      <xdr:col>3</xdr:col>
      <xdr:colOff>452438</xdr:colOff>
      <xdr:row>32</xdr:row>
      <xdr:rowOff>66164</xdr:rowOff>
    </xdr:from>
    <xdr:to>
      <xdr:col>3</xdr:col>
      <xdr:colOff>2372520</xdr:colOff>
      <xdr:row>34</xdr:row>
      <xdr:rowOff>488298</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stretch>
          <a:fillRect/>
        </a:stretch>
      </xdr:blipFill>
      <xdr:spPr>
        <a:xfrm>
          <a:off x="2607469" y="19211414"/>
          <a:ext cx="1913732" cy="1476234"/>
        </a:xfrm>
        <a:prstGeom prst="rect">
          <a:avLst/>
        </a:prstGeom>
      </xdr:spPr>
    </xdr:pic>
    <xdr:clientData/>
  </xdr:twoCellAnchor>
  <xdr:twoCellAnchor editAs="oneCell">
    <xdr:from>
      <xdr:col>3</xdr:col>
      <xdr:colOff>701934</xdr:colOff>
      <xdr:row>26</xdr:row>
      <xdr:rowOff>59531</xdr:rowOff>
    </xdr:from>
    <xdr:to>
      <xdr:col>3</xdr:col>
      <xdr:colOff>1988344</xdr:colOff>
      <xdr:row>27</xdr:row>
      <xdr:rowOff>640956</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1715" y="13537406"/>
          <a:ext cx="1286410" cy="1295800"/>
        </a:xfrm>
        <a:prstGeom prst="rect">
          <a:avLst/>
        </a:prstGeom>
      </xdr:spPr>
    </xdr:pic>
    <xdr:clientData/>
  </xdr:twoCellAnchor>
  <xdr:twoCellAnchor>
    <xdr:from>
      <xdr:col>3</xdr:col>
      <xdr:colOff>752474</xdr:colOff>
      <xdr:row>65</xdr:row>
      <xdr:rowOff>101670</xdr:rowOff>
    </xdr:from>
    <xdr:to>
      <xdr:col>3</xdr:col>
      <xdr:colOff>2131218</xdr:colOff>
      <xdr:row>66</xdr:row>
      <xdr:rowOff>304267</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6"/>
        <a:stretch>
          <a:fillRect/>
        </a:stretch>
      </xdr:blipFill>
      <xdr:spPr>
        <a:xfrm>
          <a:off x="2905124" y="32267595"/>
          <a:ext cx="1378744" cy="1326547"/>
        </a:xfrm>
        <a:prstGeom prst="rect">
          <a:avLst/>
        </a:prstGeom>
      </xdr:spPr>
    </xdr:pic>
    <xdr:clientData/>
  </xdr:twoCellAnchor>
  <xdr:twoCellAnchor>
    <xdr:from>
      <xdr:col>3</xdr:col>
      <xdr:colOff>609600</xdr:colOff>
      <xdr:row>70</xdr:row>
      <xdr:rowOff>888984</xdr:rowOff>
    </xdr:from>
    <xdr:to>
      <xdr:col>3</xdr:col>
      <xdr:colOff>1692767</xdr:colOff>
      <xdr:row>72</xdr:row>
      <xdr:rowOff>342172</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7"/>
        <a:stretch>
          <a:fillRect/>
        </a:stretch>
      </xdr:blipFill>
      <xdr:spPr>
        <a:xfrm>
          <a:off x="2762250" y="38007909"/>
          <a:ext cx="1083167" cy="1262938"/>
        </a:xfrm>
        <a:prstGeom prst="rect">
          <a:avLst/>
        </a:prstGeom>
      </xdr:spPr>
    </xdr:pic>
    <xdr:clientData/>
  </xdr:twoCellAnchor>
  <xdr:twoCellAnchor>
    <xdr:from>
      <xdr:col>3</xdr:col>
      <xdr:colOff>657224</xdr:colOff>
      <xdr:row>68</xdr:row>
      <xdr:rowOff>130245</xdr:rowOff>
    </xdr:from>
    <xdr:to>
      <xdr:col>3</xdr:col>
      <xdr:colOff>2035968</xdr:colOff>
      <xdr:row>69</xdr:row>
      <xdr:rowOff>336017</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a:stretch>
          <a:fillRect/>
        </a:stretch>
      </xdr:blipFill>
      <xdr:spPr>
        <a:xfrm>
          <a:off x="2809874" y="35334645"/>
          <a:ext cx="1378744" cy="1329722"/>
        </a:xfrm>
        <a:prstGeom prst="rect">
          <a:avLst/>
        </a:prstGeom>
      </xdr:spPr>
    </xdr:pic>
    <xdr:clientData/>
  </xdr:twoCellAnchor>
  <xdr:twoCellAnchor editAs="oneCell">
    <xdr:from>
      <xdr:col>3</xdr:col>
      <xdr:colOff>223045</xdr:colOff>
      <xdr:row>85</xdr:row>
      <xdr:rowOff>130969</xdr:rowOff>
    </xdr:from>
    <xdr:to>
      <xdr:col>3</xdr:col>
      <xdr:colOff>2654794</xdr:colOff>
      <xdr:row>89</xdr:row>
      <xdr:rowOff>37111</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8"/>
        <a:stretch>
          <a:fillRect/>
        </a:stretch>
      </xdr:blipFill>
      <xdr:spPr>
        <a:xfrm>
          <a:off x="2378076" y="51125438"/>
          <a:ext cx="2428574" cy="1549206"/>
        </a:xfrm>
        <a:prstGeom prst="rect">
          <a:avLst/>
        </a:prstGeom>
      </xdr:spPr>
    </xdr:pic>
    <xdr:clientData/>
  </xdr:twoCellAnchor>
  <xdr:oneCellAnchor>
    <xdr:from>
      <xdr:col>3</xdr:col>
      <xdr:colOff>235745</xdr:colOff>
      <xdr:row>91</xdr:row>
      <xdr:rowOff>178594</xdr:rowOff>
    </xdr:from>
    <xdr:ext cx="2428574" cy="1549206"/>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stretch>
          <a:fillRect/>
        </a:stretch>
      </xdr:blipFill>
      <xdr:spPr>
        <a:xfrm>
          <a:off x="2390776" y="53506688"/>
          <a:ext cx="2428574" cy="1549206"/>
        </a:xfrm>
        <a:prstGeom prst="rect">
          <a:avLst/>
        </a:prstGeom>
      </xdr:spPr>
    </xdr:pic>
    <xdr:clientData/>
  </xdr:oneCellAnchor>
  <xdr:twoCellAnchor editAs="oneCell">
    <xdr:from>
      <xdr:col>3</xdr:col>
      <xdr:colOff>116680</xdr:colOff>
      <xdr:row>100</xdr:row>
      <xdr:rowOff>125747</xdr:rowOff>
    </xdr:from>
    <xdr:to>
      <xdr:col>3</xdr:col>
      <xdr:colOff>2665329</xdr:colOff>
      <xdr:row>106</xdr:row>
      <xdr:rowOff>192882</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9"/>
        <a:stretch>
          <a:fillRect/>
        </a:stretch>
      </xdr:blipFill>
      <xdr:spPr>
        <a:xfrm>
          <a:off x="2269330" y="55942247"/>
          <a:ext cx="2548649" cy="1438733"/>
        </a:xfrm>
        <a:prstGeom prst="rect">
          <a:avLst/>
        </a:prstGeom>
      </xdr:spPr>
    </xdr:pic>
    <xdr:clientData/>
  </xdr:twoCellAnchor>
  <xdr:twoCellAnchor editAs="oneCell">
    <xdr:from>
      <xdr:col>7</xdr:col>
      <xdr:colOff>744842</xdr:colOff>
      <xdr:row>0</xdr:row>
      <xdr:rowOff>0</xdr:rowOff>
    </xdr:from>
    <xdr:to>
      <xdr:col>11</xdr:col>
      <xdr:colOff>1200150</xdr:colOff>
      <xdr:row>1</xdr:row>
      <xdr:rowOff>581025</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269592" y="0"/>
          <a:ext cx="5341633"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234950</xdr:colOff>
      <xdr:row>109</xdr:row>
      <xdr:rowOff>121154</xdr:rowOff>
    </xdr:from>
    <xdr:to>
      <xdr:col>3</xdr:col>
      <xdr:colOff>2559087</xdr:colOff>
      <xdr:row>116</xdr:row>
      <xdr:rowOff>95011</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1"/>
        <a:stretch>
          <a:fillRect/>
        </a:stretch>
      </xdr:blipFill>
      <xdr:spPr>
        <a:xfrm>
          <a:off x="2387600" y="43326554"/>
          <a:ext cx="2324137" cy="15740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0</xdr:colOff>
          <xdr:row>3</xdr:row>
          <xdr:rowOff>657225</xdr:rowOff>
        </xdr:from>
        <xdr:to>
          <xdr:col>19</xdr:col>
          <xdr:colOff>504825</xdr:colOff>
          <xdr:row>9</xdr:row>
          <xdr:rowOff>0</xdr:rowOff>
        </xdr:to>
        <xdr:sp macro="" textlink="">
          <xdr:nvSpPr>
            <xdr:cNvPr id="10889" name="Group Box 649" hidden="1">
              <a:extLst>
                <a:ext uri="{63B3BB69-23CF-44E3-9099-C40C66FF867C}">
                  <a14:compatExt spid="_x0000_s10889"/>
                </a:ext>
                <a:ext uri="{FF2B5EF4-FFF2-40B4-BE49-F238E27FC236}">
                  <a16:creationId xmlns:a16="http://schemas.microsoft.com/office/drawing/2014/main" id="{00000000-0008-0000-0600-0000892A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23</xdr:col>
      <xdr:colOff>447675</xdr:colOff>
      <xdr:row>0</xdr:row>
      <xdr:rowOff>9525</xdr:rowOff>
    </xdr:from>
    <xdr:to>
      <xdr:col>30</xdr:col>
      <xdr:colOff>987425</xdr:colOff>
      <xdr:row>1</xdr:row>
      <xdr:rowOff>581387</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26450" y="9525"/>
          <a:ext cx="5102225" cy="119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20</xdr:col>
          <xdr:colOff>333375</xdr:colOff>
          <xdr:row>9</xdr:row>
          <xdr:rowOff>133350</xdr:rowOff>
        </xdr:from>
        <xdr:to>
          <xdr:col>22</xdr:col>
          <xdr:colOff>323850</xdr:colOff>
          <xdr:row>11</xdr:row>
          <xdr:rowOff>38100</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07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xdr:row>
          <xdr:rowOff>657225</xdr:rowOff>
        </xdr:from>
        <xdr:to>
          <xdr:col>20</xdr:col>
          <xdr:colOff>438150</xdr:colOff>
          <xdr:row>8</xdr:row>
          <xdr:rowOff>9525</xdr:rowOff>
        </xdr:to>
        <xdr:sp macro="" textlink="">
          <xdr:nvSpPr>
            <xdr:cNvPr id="43010" name="Group Box 2" hidden="1">
              <a:extLst>
                <a:ext uri="{63B3BB69-23CF-44E3-9099-C40C66FF867C}">
                  <a14:compatExt spid="_x0000_s43010"/>
                </a:ext>
                <a:ext uri="{FF2B5EF4-FFF2-40B4-BE49-F238E27FC236}">
                  <a16:creationId xmlns:a16="http://schemas.microsoft.com/office/drawing/2014/main" id="{00000000-0008-0000-0700-000002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24</xdr:col>
      <xdr:colOff>86636</xdr:colOff>
      <xdr:row>0</xdr:row>
      <xdr:rowOff>38100</xdr:rowOff>
    </xdr:from>
    <xdr:to>
      <xdr:col>32</xdr:col>
      <xdr:colOff>304800</xdr:colOff>
      <xdr:row>1</xdr:row>
      <xdr:rowOff>590550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70286" y="38100"/>
          <a:ext cx="5266414"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4</xdr:row>
          <xdr:rowOff>657225</xdr:rowOff>
        </xdr:from>
        <xdr:to>
          <xdr:col>24</xdr:col>
          <xdr:colOff>447675</xdr:colOff>
          <xdr:row>10</xdr:row>
          <xdr:rowOff>0</xdr:rowOff>
        </xdr:to>
        <xdr:sp macro="" textlink="">
          <xdr:nvSpPr>
            <xdr:cNvPr id="58370" name="Group Box 2" hidden="1">
              <a:extLst>
                <a:ext uri="{63B3BB69-23CF-44E3-9099-C40C66FF867C}">
                  <a14:compatExt spid="_x0000_s58370"/>
                </a:ext>
                <a:ext uri="{FF2B5EF4-FFF2-40B4-BE49-F238E27FC236}">
                  <a16:creationId xmlns:a16="http://schemas.microsoft.com/office/drawing/2014/main" id="{00000000-0008-0000-0800-000002E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16</xdr:col>
      <xdr:colOff>1562099</xdr:colOff>
      <xdr:row>0</xdr:row>
      <xdr:rowOff>57151</xdr:rowOff>
    </xdr:from>
    <xdr:to>
      <xdr:col>22</xdr:col>
      <xdr:colOff>959424</xdr:colOff>
      <xdr:row>2</xdr:row>
      <xdr:rowOff>59633</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93524" y="57151"/>
          <a:ext cx="6058475" cy="1259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Boyce, Shawn" id="{64F40F01-6B17-4603-AD17-2886FEB5EB12}" userId="S::SBoyce@trcsolutions.com::4caa1700-dc91-4fa9-9fd8-f15da11975d6"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F68" dT="2024-08-22T19:18:12.58" personId="{64F40F01-6B17-4603-AD17-2886FEB5EB12}" id="{E3D73CEF-02A7-4147-9068-B2340FBA95B0}">
    <text>Do we add Converted EE kWh</text>
  </threadedComment>
</ThreadedComments>
</file>

<file path=xl/threadedComments/threadedComment2.xml><?xml version="1.0" encoding="utf-8"?>
<ThreadedComments xmlns="http://schemas.microsoft.com/office/spreadsheetml/2018/threadedcomments" xmlns:x="http://schemas.openxmlformats.org/spreadsheetml/2006/main">
  <threadedComment ref="H43" dT="2024-08-12T13:46:30.14" personId="{64F40F01-6B17-4603-AD17-2886FEB5EB12}" id="{BDE1C4BF-D061-418A-8C1F-C65683455270}">
    <text>Formula is asking for SEER/IEER but DSA does not provide. Values sourced from same place as EER baseline from DSA</text>
  </threadedComment>
  <threadedComment ref="Q43" dT="2024-08-12T13:38:44.03" personId="{64F40F01-6B17-4603-AD17-2886FEB5EB12}" id="{D71617FD-294C-4D46-988E-4DBB128FEB09}">
    <text>Formula calls for SEER/IEER but DSA TRM does not provide</text>
  </threadedComment>
  <threadedComment ref="D55" dT="2024-08-14T17:58:23.97" personId="{64F40F01-6B17-4603-AD17-2886FEB5EB12}" id="{ABE2667B-3B58-49DB-A139-177E272AFD53}">
    <text>Formula differs from DSA TRM</text>
  </threadedComment>
  <threadedComment ref="D219" dT="2024-08-19T17:01:23.18" personId="{64F40F01-6B17-4603-AD17-2886FEB5EB12}" id="{E07FF87B-E0FF-402B-AC82-3F8739E25821}">
    <text xml:space="preserve">Double Check
</text>
  </threadedComment>
  <threadedComment ref="E256" dT="2024-08-19T16:34:21.65" personId="{64F40F01-6B17-4603-AD17-2886FEB5EB12}" id="{5E067D2E-ED4D-49A3-836A-6BFE98255497}">
    <text>Updated to new TRM AFUE Baselines</text>
  </threadedComment>
  <threadedComment ref="E256" dT="2024-08-19T16:34:27.69" personId="{64F40F01-6B17-4603-AD17-2886FEB5EB12}" id="{C5FD40FC-4EEE-4516-8BF5-9ADA260D33CC}" parentId="{5E067D2E-ED4D-49A3-836A-6BFE98255497}">
    <text>84% Gas</text>
  </threadedComment>
  <threadedComment ref="E256" dT="2024-08-19T16:34:34.63" personId="{64F40F01-6B17-4603-AD17-2886FEB5EB12}" id="{37DB4E19-0D3E-4ED8-8B73-BF39009977BA}" parentId="{5E067D2E-ED4D-49A3-836A-6BFE98255497}">
    <text>86% Oil</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segliny.com/en/businessandcontractorservices/businessandcommercialsavings/rebates" TargetMode="External"/><Relationship Id="rId7" Type="http://schemas.openxmlformats.org/officeDocument/2006/relationships/drawing" Target="../drawings/drawing4.xml"/><Relationship Id="rId2" Type="http://schemas.openxmlformats.org/officeDocument/2006/relationships/hyperlink" Target="https://www.psegliny.com/en/businessandcontractorservices/businessandcommercialsavings/rebates" TargetMode="External"/><Relationship Id="rId1" Type="http://schemas.openxmlformats.org/officeDocument/2006/relationships/hyperlink" Target="mailto:CEPLI@pseg.com" TargetMode="External"/><Relationship Id="rId6" Type="http://schemas.openxmlformats.org/officeDocument/2006/relationships/printerSettings" Target="../printerSettings/printerSettings5.bin"/><Relationship Id="rId5" Type="http://schemas.openxmlformats.org/officeDocument/2006/relationships/hyperlink" Target="https://www.psegliny.com/en/businessandcontractorservices/businessandcommercialsavings/rebates" TargetMode="External"/><Relationship Id="rId4" Type="http://schemas.openxmlformats.org/officeDocument/2006/relationships/hyperlink" Target="https://www.psegliny.com/en/businessandcontractorservices/businessandcommercialsavings/rebates" TargetMode="Externa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 Type="http://schemas.openxmlformats.org/officeDocument/2006/relationships/drawing" Target="../drawings/drawing5.xml"/><Relationship Id="rId16" Type="http://schemas.openxmlformats.org/officeDocument/2006/relationships/ctrlProp" Target="../ctrlProps/ctrlProp18.xml"/><Relationship Id="rId1" Type="http://schemas.openxmlformats.org/officeDocument/2006/relationships/printerSettings" Target="../printerSettings/printerSettings6.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5" Type="http://schemas.openxmlformats.org/officeDocument/2006/relationships/ctrlProp" Target="../ctrlProps/ctrlProp1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trlProp" Target="../ctrlProps/ctrlProp2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7" Type="http://schemas.openxmlformats.org/officeDocument/2006/relationships/ctrlProp" Target="../ctrlProps/ctrlProp22.xml"/><Relationship Id="rId2" Type="http://schemas.openxmlformats.org/officeDocument/2006/relationships/printerSettings" Target="../printerSettings/printerSettings10.bin"/><Relationship Id="rId1" Type="http://schemas.openxmlformats.org/officeDocument/2006/relationships/hyperlink" Target="https://nyserda.ny.gov/qualified-integrated-controls" TargetMode="External"/><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tabColor rgb="FF00B050"/>
  </sheetPr>
  <dimension ref="A1:P30"/>
  <sheetViews>
    <sheetView showGridLines="0" zoomScaleNormal="100" workbookViewId="0"/>
  </sheetViews>
  <sheetFormatPr defaultColWidth="0" defaultRowHeight="15.75" zeroHeight="1" x14ac:dyDescent="0.25"/>
  <cols>
    <col min="1" max="1" width="3.7109375" style="93" customWidth="1"/>
    <col min="2" max="2" width="9.140625" style="93" customWidth="1"/>
    <col min="3" max="3" width="2.5703125" style="93" customWidth="1"/>
    <col min="4" max="4" width="4.5703125" style="93" customWidth="1"/>
    <col min="5" max="14" width="12.5703125" style="93" customWidth="1"/>
    <col min="15" max="15" width="9.140625" style="93" customWidth="1"/>
    <col min="16" max="16384" width="0" style="93" hidden="1"/>
  </cols>
  <sheetData>
    <row r="1" spans="1:16" ht="50.1" customHeight="1" x14ac:dyDescent="0.25">
      <c r="A1" s="319" t="str">
        <f>Development!B4&amp;" "&amp;Development!B2</f>
        <v>2025 Commercial Efficiency Program</v>
      </c>
      <c r="B1" s="1081"/>
      <c r="C1" s="340"/>
      <c r="D1" s="340"/>
      <c r="E1" s="340"/>
      <c r="F1" s="338"/>
      <c r="G1" s="339"/>
      <c r="H1" s="340"/>
      <c r="I1" s="340"/>
      <c r="J1" s="266"/>
      <c r="K1" s="345"/>
      <c r="L1" s="346"/>
      <c r="M1" s="341"/>
      <c r="N1" s="341"/>
      <c r="O1" s="341"/>
      <c r="P1" s="92"/>
    </row>
    <row r="2" spans="1:16" s="1067" customFormat="1" ht="50.1" customHeight="1" thickBot="1" x14ac:dyDescent="0.3">
      <c r="A2" s="1059"/>
      <c r="B2" s="1060" t="s">
        <v>344</v>
      </c>
      <c r="C2" s="1061"/>
      <c r="D2" s="1061"/>
      <c r="E2" s="1061"/>
      <c r="F2" s="1059"/>
      <c r="G2" s="1060"/>
      <c r="H2" s="1061"/>
      <c r="I2" s="1061"/>
      <c r="J2" s="1062"/>
      <c r="K2" s="1063"/>
      <c r="L2" s="1064"/>
      <c r="M2" s="1065"/>
      <c r="N2" s="1065"/>
      <c r="O2" s="1065"/>
      <c r="P2" s="1066"/>
    </row>
    <row r="3" spans="1:16" ht="14.1" customHeight="1" thickTop="1" x14ac:dyDescent="0.3">
      <c r="A3" s="2"/>
      <c r="B3" s="2"/>
      <c r="C3" s="2"/>
      <c r="D3" s="2"/>
      <c r="E3" s="2"/>
      <c r="F3" s="2"/>
      <c r="G3" s="2"/>
      <c r="H3" s="2"/>
      <c r="I3" s="2"/>
      <c r="J3" s="2"/>
      <c r="K3" s="2"/>
      <c r="L3" s="2"/>
      <c r="M3" s="2"/>
      <c r="N3" s="2"/>
      <c r="O3" s="2"/>
      <c r="P3" s="94"/>
    </row>
    <row r="4" spans="1:16" s="98" customFormat="1" x14ac:dyDescent="0.25">
      <c r="B4" s="1106" t="s">
        <v>999</v>
      </c>
      <c r="C4" s="1106"/>
      <c r="D4" s="1106"/>
      <c r="E4" s="1106"/>
      <c r="F4" s="1106"/>
      <c r="G4" s="1106"/>
      <c r="H4" s="1106"/>
      <c r="I4" s="1106"/>
      <c r="J4" s="1106"/>
      <c r="K4" s="1106"/>
      <c r="L4" s="1106"/>
      <c r="M4" s="1106"/>
      <c r="N4" s="1106"/>
    </row>
    <row r="5" spans="1:16" s="98" customFormat="1" x14ac:dyDescent="0.25"/>
    <row r="6" spans="1:16" s="98" customFormat="1" ht="31.5" customHeight="1" x14ac:dyDescent="0.25">
      <c r="B6" s="1107" t="s">
        <v>992</v>
      </c>
      <c r="C6" s="1107"/>
      <c r="D6" s="1107"/>
      <c r="E6" s="1107"/>
      <c r="F6" s="1107"/>
      <c r="G6" s="1107"/>
      <c r="H6" s="1107"/>
      <c r="I6" s="1107"/>
      <c r="J6" s="1107"/>
      <c r="K6" s="1107"/>
      <c r="L6" s="1107"/>
      <c r="M6" s="1107"/>
      <c r="N6" s="1107"/>
    </row>
    <row r="7" spans="1:16" ht="15.75" customHeight="1" x14ac:dyDescent="0.25">
      <c r="A7" s="98"/>
      <c r="B7" s="99"/>
      <c r="C7" s="99"/>
      <c r="D7" s="99"/>
      <c r="E7" s="99"/>
      <c r="F7" s="99"/>
      <c r="G7" s="99"/>
      <c r="H7" s="99"/>
      <c r="I7" s="99"/>
      <c r="J7" s="99"/>
      <c r="K7" s="99"/>
      <c r="L7" s="99"/>
      <c r="M7" s="99"/>
      <c r="N7" s="98"/>
      <c r="O7" s="98"/>
    </row>
    <row r="8" spans="1:16" ht="15.75" customHeight="1" x14ac:dyDescent="0.25">
      <c r="A8" s="98"/>
      <c r="B8" s="1107" t="s">
        <v>381</v>
      </c>
      <c r="C8" s="1107"/>
      <c r="D8" s="1107"/>
      <c r="E8" s="1107"/>
      <c r="F8" s="1107"/>
      <c r="G8" s="1107"/>
      <c r="H8" s="1107"/>
      <c r="I8" s="1107"/>
      <c r="J8" s="1107"/>
      <c r="K8" s="1107"/>
      <c r="L8" s="1107"/>
      <c r="M8" s="1107"/>
      <c r="N8" s="1107"/>
      <c r="O8" s="98"/>
    </row>
    <row r="9" spans="1:16" ht="15.75" customHeight="1" x14ac:dyDescent="0.25">
      <c r="A9" s="98"/>
      <c r="B9" s="98"/>
      <c r="C9" s="98"/>
      <c r="D9" s="98"/>
      <c r="E9" s="98"/>
      <c r="F9" s="98"/>
      <c r="G9" s="98"/>
      <c r="H9" s="98"/>
      <c r="I9" s="98"/>
      <c r="J9" s="98"/>
      <c r="K9" s="98"/>
      <c r="L9" s="98"/>
      <c r="M9" s="98"/>
      <c r="N9" s="98"/>
      <c r="O9" s="98"/>
    </row>
    <row r="10" spans="1:16" x14ac:dyDescent="0.25">
      <c r="A10" s="98"/>
      <c r="B10" s="98" t="s">
        <v>24</v>
      </c>
      <c r="C10" s="98"/>
      <c r="D10" s="98"/>
      <c r="E10" s="98"/>
      <c r="F10" s="98"/>
      <c r="G10" s="98"/>
      <c r="H10" s="98"/>
      <c r="I10" s="98"/>
      <c r="J10" s="98"/>
      <c r="K10" s="98"/>
      <c r="L10" s="98"/>
      <c r="M10" s="98"/>
      <c r="N10" s="98"/>
      <c r="O10" s="98"/>
    </row>
    <row r="11" spans="1:16" x14ac:dyDescent="0.25">
      <c r="A11" s="98"/>
      <c r="B11" s="98"/>
      <c r="C11" s="98"/>
      <c r="D11" s="98"/>
      <c r="E11" s="98"/>
      <c r="F11" s="98"/>
      <c r="G11" s="98"/>
      <c r="H11" s="98"/>
      <c r="I11" s="98"/>
      <c r="J11" s="98"/>
      <c r="K11" s="98"/>
      <c r="L11" s="98"/>
      <c r="M11" s="98"/>
      <c r="N11" s="98"/>
      <c r="O11" s="98"/>
    </row>
    <row r="12" spans="1:16" x14ac:dyDescent="0.25">
      <c r="A12" s="98"/>
      <c r="B12" s="98"/>
      <c r="C12" s="100" t="s">
        <v>25</v>
      </c>
      <c r="D12" s="1105" t="s">
        <v>528</v>
      </c>
      <c r="E12" s="1105"/>
      <c r="F12" s="1105"/>
      <c r="G12" s="1105"/>
      <c r="H12" s="1105"/>
      <c r="I12" s="1105"/>
      <c r="J12" s="1105"/>
      <c r="K12" s="1105"/>
      <c r="L12" s="1105"/>
      <c r="M12" s="1105"/>
      <c r="N12" s="1105"/>
      <c r="O12" s="98"/>
    </row>
    <row r="13" spans="1:16" x14ac:dyDescent="0.25">
      <c r="A13" s="98"/>
      <c r="B13" s="98"/>
      <c r="C13" s="98"/>
      <c r="D13" s="101"/>
      <c r="E13" s="98"/>
      <c r="F13" s="98"/>
      <c r="G13" s="98"/>
      <c r="H13" s="98"/>
      <c r="I13" s="98"/>
      <c r="J13" s="98"/>
      <c r="K13" s="98"/>
      <c r="L13" s="98"/>
      <c r="M13" s="98"/>
      <c r="N13" s="98"/>
      <c r="O13" s="98"/>
    </row>
    <row r="14" spans="1:16" x14ac:dyDescent="0.25">
      <c r="A14" s="98"/>
      <c r="B14" s="98"/>
      <c r="C14" s="100" t="s">
        <v>26</v>
      </c>
      <c r="D14" s="1105" t="s">
        <v>1414</v>
      </c>
      <c r="E14" s="1105"/>
      <c r="F14" s="1105"/>
      <c r="G14" s="1105"/>
      <c r="H14" s="1105"/>
      <c r="I14" s="1105"/>
      <c r="J14" s="1105"/>
      <c r="K14" s="1105"/>
      <c r="L14" s="1105"/>
      <c r="M14" s="1105"/>
      <c r="N14" s="1105"/>
      <c r="O14" s="98"/>
    </row>
    <row r="15" spans="1:16" ht="15.75" customHeight="1" x14ac:dyDescent="0.25">
      <c r="A15" s="98"/>
      <c r="B15" s="98"/>
      <c r="C15" s="98"/>
      <c r="D15" s="102"/>
      <c r="E15" s="1105" t="s">
        <v>1005</v>
      </c>
      <c r="F15" s="1105"/>
      <c r="G15" s="1105"/>
      <c r="H15" s="1105"/>
      <c r="I15" s="1105"/>
      <c r="J15" s="1105"/>
      <c r="K15" s="1105"/>
      <c r="L15" s="1105"/>
      <c r="M15" s="1105"/>
      <c r="N15" s="1105"/>
      <c r="O15" s="98"/>
    </row>
    <row r="16" spans="1:16" ht="15.75" customHeight="1" x14ac:dyDescent="0.25">
      <c r="A16" s="98"/>
      <c r="B16" s="98"/>
      <c r="C16" s="98"/>
      <c r="D16" s="102" t="s">
        <v>27</v>
      </c>
      <c r="E16" s="1105" t="s">
        <v>1006</v>
      </c>
      <c r="F16" s="1105"/>
      <c r="G16" s="1105"/>
      <c r="H16" s="1105"/>
      <c r="I16" s="1105"/>
      <c r="J16" s="1105"/>
      <c r="K16" s="1105"/>
      <c r="L16" s="1105"/>
      <c r="M16" s="1105"/>
      <c r="N16" s="1105"/>
      <c r="O16" s="98"/>
    </row>
    <row r="17" spans="1:15" x14ac:dyDescent="0.25">
      <c r="A17" s="98"/>
      <c r="B17" s="98"/>
      <c r="C17" s="98"/>
      <c r="D17" s="102" t="s">
        <v>27</v>
      </c>
      <c r="E17" s="1105" t="s">
        <v>380</v>
      </c>
      <c r="F17" s="1105"/>
      <c r="G17" s="1105"/>
      <c r="H17" s="1105"/>
      <c r="I17" s="1105"/>
      <c r="J17" s="1105"/>
      <c r="K17" s="1105"/>
      <c r="L17" s="1105"/>
      <c r="M17" s="1105"/>
      <c r="N17" s="1105"/>
      <c r="O17" s="98"/>
    </row>
    <row r="18" spans="1:15" x14ac:dyDescent="0.25">
      <c r="A18" s="98"/>
      <c r="B18" s="98"/>
      <c r="C18" s="98"/>
      <c r="D18" s="102" t="s">
        <v>27</v>
      </c>
      <c r="E18" s="1108" t="s">
        <v>534</v>
      </c>
      <c r="F18" s="1108"/>
      <c r="G18" s="1108"/>
      <c r="H18" s="1108"/>
      <c r="I18" s="1108"/>
      <c r="J18" s="1108"/>
      <c r="K18" s="1108"/>
      <c r="L18" s="1108"/>
      <c r="M18" s="1108"/>
      <c r="N18" s="1108"/>
      <c r="O18" s="98"/>
    </row>
    <row r="19" spans="1:15" ht="31.5" customHeight="1" x14ac:dyDescent="0.25">
      <c r="A19" s="98"/>
      <c r="B19" s="98"/>
      <c r="C19" s="98"/>
      <c r="D19" s="102" t="s">
        <v>27</v>
      </c>
      <c r="E19" s="1107" t="s">
        <v>126</v>
      </c>
      <c r="F19" s="1107"/>
      <c r="G19" s="1107"/>
      <c r="H19" s="1107"/>
      <c r="I19" s="1107"/>
      <c r="J19" s="1107"/>
      <c r="K19" s="1107"/>
      <c r="L19" s="1107"/>
      <c r="M19" s="1107"/>
      <c r="N19" s="1107"/>
      <c r="O19" s="98"/>
    </row>
    <row r="20" spans="1:15" x14ac:dyDescent="0.25">
      <c r="A20" s="98"/>
      <c r="B20" s="98"/>
      <c r="C20" s="98"/>
      <c r="D20" s="101"/>
      <c r="E20" s="98"/>
      <c r="F20" s="98"/>
      <c r="G20" s="98"/>
      <c r="H20" s="98"/>
      <c r="I20" s="98"/>
      <c r="J20" s="98"/>
      <c r="K20" s="98"/>
      <c r="L20" s="98"/>
      <c r="M20" s="98"/>
      <c r="N20" s="98"/>
      <c r="O20" s="98"/>
    </row>
    <row r="21" spans="1:15" ht="65.099999999999994" customHeight="1" x14ac:dyDescent="0.25">
      <c r="A21" s="98"/>
      <c r="B21" s="98"/>
      <c r="C21" s="103" t="s">
        <v>28</v>
      </c>
      <c r="D21" s="1109" t="s">
        <v>535</v>
      </c>
      <c r="E21" s="1109"/>
      <c r="F21" s="1109"/>
      <c r="G21" s="1109"/>
      <c r="H21" s="1109"/>
      <c r="I21" s="1109"/>
      <c r="J21" s="1109"/>
      <c r="K21" s="1109"/>
      <c r="L21" s="1109"/>
      <c r="M21" s="1109"/>
      <c r="N21" s="98"/>
      <c r="O21" s="98"/>
    </row>
    <row r="22" spans="1:15" x14ac:dyDescent="0.25">
      <c r="A22" s="98"/>
      <c r="B22" s="98"/>
      <c r="C22" s="98"/>
      <c r="D22" s="104"/>
      <c r="E22" s="98"/>
      <c r="F22" s="98"/>
      <c r="G22" s="98"/>
      <c r="H22" s="98"/>
      <c r="I22" s="98"/>
      <c r="J22" s="98"/>
      <c r="K22" s="98"/>
      <c r="L22" s="98"/>
      <c r="M22" s="98"/>
      <c r="N22" s="98"/>
      <c r="O22" s="98"/>
    </row>
    <row r="23" spans="1:15" x14ac:dyDescent="0.25">
      <c r="A23" s="98"/>
      <c r="B23" s="98"/>
      <c r="C23" s="100" t="s">
        <v>29</v>
      </c>
      <c r="D23" s="1105" t="s">
        <v>1007</v>
      </c>
      <c r="E23" s="1105"/>
      <c r="F23" s="1105"/>
      <c r="G23" s="1105"/>
      <c r="H23" s="1105"/>
      <c r="I23" s="1105"/>
      <c r="J23" s="1105"/>
      <c r="K23" s="1105"/>
      <c r="L23" s="1105"/>
      <c r="M23" s="1105"/>
      <c r="N23" s="1105"/>
      <c r="O23" s="98"/>
    </row>
    <row r="24" spans="1:15" ht="15.75" customHeight="1" x14ac:dyDescent="0.25">
      <c r="A24" s="98"/>
      <c r="B24" s="98"/>
      <c r="C24" s="103"/>
      <c r="D24" s="99"/>
      <c r="E24" s="99"/>
      <c r="F24" s="99"/>
      <c r="G24" s="99"/>
      <c r="H24" s="99"/>
      <c r="I24" s="99"/>
      <c r="J24" s="99"/>
      <c r="K24" s="99"/>
      <c r="L24" s="99"/>
      <c r="M24" s="99"/>
      <c r="N24" s="98"/>
      <c r="O24" s="98"/>
    </row>
    <row r="25" spans="1:15" ht="31.5" customHeight="1" x14ac:dyDescent="0.25">
      <c r="A25" s="98"/>
      <c r="B25" s="98"/>
      <c r="C25" s="103" t="s">
        <v>30</v>
      </c>
      <c r="D25" s="1107" t="s">
        <v>45</v>
      </c>
      <c r="E25" s="1107"/>
      <c r="F25" s="1107"/>
      <c r="G25" s="1107"/>
      <c r="H25" s="1107"/>
      <c r="I25" s="1107"/>
      <c r="J25" s="1107"/>
      <c r="K25" s="1107"/>
      <c r="L25" s="1107"/>
      <c r="M25" s="1107"/>
      <c r="N25" s="98"/>
      <c r="O25" s="98"/>
    </row>
    <row r="26" spans="1:15" x14ac:dyDescent="0.25">
      <c r="A26" s="98"/>
      <c r="B26" s="98"/>
      <c r="C26" s="103"/>
      <c r="D26" s="99"/>
      <c r="E26" s="99"/>
      <c r="F26" s="99"/>
      <c r="G26" s="99"/>
      <c r="H26" s="99"/>
      <c r="I26" s="99"/>
      <c r="J26" s="99"/>
      <c r="K26" s="99"/>
      <c r="L26" s="99"/>
      <c r="M26" s="99"/>
      <c r="N26" s="98"/>
      <c r="O26" s="98"/>
    </row>
    <row r="27" spans="1:15" ht="31.5" customHeight="1" x14ac:dyDescent="0.25">
      <c r="A27" s="98"/>
      <c r="B27" s="98"/>
      <c r="C27" s="103" t="s">
        <v>44</v>
      </c>
      <c r="D27" s="1107" t="s">
        <v>127</v>
      </c>
      <c r="E27" s="1107"/>
      <c r="F27" s="1107"/>
      <c r="G27" s="1107"/>
      <c r="H27" s="1107"/>
      <c r="I27" s="1107"/>
      <c r="J27" s="1107"/>
      <c r="K27" s="1107"/>
      <c r="L27" s="1107"/>
      <c r="M27" s="1107"/>
      <c r="N27" s="98"/>
      <c r="O27" s="98"/>
    </row>
    <row r="28" spans="1:15" x14ac:dyDescent="0.25">
      <c r="A28" s="98"/>
      <c r="B28" s="98"/>
      <c r="C28" s="98"/>
      <c r="D28" s="98"/>
      <c r="E28" s="98"/>
      <c r="F28" s="98"/>
      <c r="G28" s="98"/>
      <c r="H28" s="98"/>
      <c r="I28" s="98"/>
      <c r="J28" s="98"/>
      <c r="K28" s="98"/>
      <c r="L28" s="98"/>
      <c r="M28" s="98"/>
      <c r="N28" s="98"/>
      <c r="O28" s="98"/>
    </row>
    <row r="29" spans="1:15" ht="30" customHeight="1" x14ac:dyDescent="0.25">
      <c r="A29" s="98"/>
      <c r="B29" s="1108" t="s">
        <v>1009</v>
      </c>
      <c r="C29" s="1108"/>
      <c r="D29" s="1108"/>
      <c r="E29" s="1108"/>
      <c r="F29" s="1108"/>
      <c r="G29" s="1108"/>
      <c r="H29" s="1108"/>
      <c r="I29" s="1108"/>
      <c r="J29" s="1108"/>
      <c r="K29" s="1108"/>
      <c r="L29" s="1108"/>
      <c r="M29" s="1108"/>
      <c r="N29" s="1108"/>
      <c r="O29" s="1108"/>
    </row>
    <row r="30" spans="1:15" x14ac:dyDescent="0.25">
      <c r="A30" s="98"/>
      <c r="B30" s="98"/>
      <c r="C30" s="98"/>
      <c r="D30" s="98"/>
      <c r="E30" s="98"/>
      <c r="F30" s="98"/>
      <c r="G30" s="98"/>
      <c r="H30" s="98"/>
      <c r="I30" s="98"/>
      <c r="J30" s="98"/>
      <c r="K30" s="98"/>
      <c r="L30" s="98"/>
      <c r="M30" s="98"/>
      <c r="N30" s="98"/>
      <c r="O30" s="98"/>
    </row>
  </sheetData>
  <sheetProtection algorithmName="SHA-512" hashValue="2EWpL221WIIOX9lE/ioFVRXr3Z8bPOR9OIA7MvQXLy3IJJHWeHuFP5jxGpdKFXP23lEqhAUYoogFOxwFOnm/dw==" saltValue="W661Sqk1roD9HQTMfifKOQ==" spinCount="100000" sheet="1" objects="1" scenarios="1"/>
  <customSheetViews>
    <customSheetView guid="{BE55F258-44BC-4FB6-88BE-39351DF10384}" showGridLines="0" hiddenRows="1" hiddenColumns="1">
      <selection activeCell="B4" sqref="B4:N4"/>
      <pageMargins left="0.7" right="0.7" top="0.75" bottom="0.75" header="0.3" footer="0.3"/>
      <pageSetup orientation="portrait" r:id="rId1"/>
    </customSheetView>
  </customSheetViews>
  <mergeCells count="15">
    <mergeCell ref="B29:O29"/>
    <mergeCell ref="E16:N16"/>
    <mergeCell ref="E17:N17"/>
    <mergeCell ref="E19:N19"/>
    <mergeCell ref="D23:N23"/>
    <mergeCell ref="D25:M25"/>
    <mergeCell ref="D27:M27"/>
    <mergeCell ref="E18:N18"/>
    <mergeCell ref="D21:M21"/>
    <mergeCell ref="E15:N15"/>
    <mergeCell ref="B4:N4"/>
    <mergeCell ref="B6:N6"/>
    <mergeCell ref="B8:N8"/>
    <mergeCell ref="D12:N12"/>
    <mergeCell ref="D14:N14"/>
  </mergeCells>
  <conditionalFormatting sqref="A1 C1:O1">
    <cfRule type="cellIs" dxfId="27" priority="1" stopIfTrue="1" operator="equal">
      <formula>"Missing Info"</formula>
    </cfRule>
  </conditionalFormatting>
  <pageMargins left="0.7" right="0.7" top="0.75" bottom="0.75" header="0.3" footer="0.3"/>
  <pageSetup scale="58"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7030A0"/>
  </sheetPr>
  <dimension ref="A1:AJ74"/>
  <sheetViews>
    <sheetView showGridLines="0" zoomScaleNormal="100" workbookViewId="0">
      <pane ySplit="7" topLeftCell="A10" activePane="bottomLeft" state="frozen"/>
      <selection pane="bottomLeft"/>
    </sheetView>
  </sheetViews>
  <sheetFormatPr defaultColWidth="0" defaultRowHeight="16.5" x14ac:dyDescent="0.3"/>
  <cols>
    <col min="1" max="1" width="3.7109375" style="2" customWidth="1"/>
    <col min="2" max="2" width="24.42578125" style="2" customWidth="1"/>
    <col min="3" max="6" width="18.5703125" style="2" customWidth="1"/>
    <col min="7" max="7" width="2.5703125" style="2" customWidth="1"/>
    <col min="8" max="10" width="12.5703125" style="2" customWidth="1"/>
    <col min="11" max="11" width="15" style="2" customWidth="1"/>
    <col min="12" max="13" width="9.140625" style="2" customWidth="1"/>
    <col min="14" max="36" width="0" style="2" hidden="1" customWidth="1"/>
    <col min="37" max="16384" width="9.140625" style="2" hidden="1"/>
  </cols>
  <sheetData>
    <row r="1" spans="1:32" s="263" customFormat="1" ht="50.1" customHeight="1" x14ac:dyDescent="0.3">
      <c r="A1" s="320"/>
      <c r="B1" s="1189" t="str">
        <f>Development!B4&amp;" "&amp; "Commercial Efficiency Program"</f>
        <v>2025 Commercial Efficiency Program</v>
      </c>
      <c r="C1" s="1189"/>
      <c r="D1" s="1189"/>
      <c r="E1" s="1189"/>
      <c r="F1" s="1189"/>
      <c r="G1" s="334"/>
      <c r="H1" s="347"/>
      <c r="I1" s="347"/>
      <c r="J1" s="347"/>
      <c r="K1" s="347"/>
      <c r="L1" s="347"/>
      <c r="M1" s="347"/>
      <c r="N1" s="347"/>
      <c r="O1" s="347"/>
      <c r="P1" s="347"/>
      <c r="Q1" s="347"/>
      <c r="R1" s="347"/>
      <c r="S1" s="348"/>
      <c r="T1" s="348"/>
      <c r="U1" s="348"/>
      <c r="V1" s="348"/>
      <c r="W1" s="348"/>
      <c r="X1" s="336"/>
      <c r="Y1"/>
      <c r="Z1"/>
      <c r="AA1" s="268"/>
      <c r="AB1" s="268"/>
      <c r="AC1" s="268"/>
      <c r="AD1" s="268"/>
      <c r="AE1" s="268"/>
      <c r="AF1" s="268"/>
    </row>
    <row r="2" spans="1:32" s="1055" customFormat="1" ht="50.1" customHeight="1" thickBot="1" x14ac:dyDescent="0.35">
      <c r="A2" s="1046"/>
      <c r="B2" s="1145" t="str">
        <f>"     "&amp;" Summary, Version"&amp;" "&amp;Development!B5</f>
        <v xml:space="preserve">      Summary, Version 2.0</v>
      </c>
      <c r="C2" s="1145"/>
      <c r="D2" s="1145"/>
      <c r="E2" s="1145"/>
      <c r="F2" s="1145"/>
      <c r="G2" s="1047"/>
      <c r="H2" s="1048"/>
      <c r="I2" s="1048"/>
      <c r="J2" s="1048"/>
      <c r="K2" s="1048"/>
      <c r="L2" s="1048"/>
      <c r="M2" s="1048"/>
      <c r="N2" s="1048"/>
      <c r="O2" s="1048"/>
      <c r="P2" s="1048"/>
      <c r="Q2" s="1048"/>
      <c r="R2" s="1048"/>
      <c r="S2" s="1049"/>
      <c r="T2" s="1049"/>
      <c r="U2" s="1049"/>
      <c r="V2" s="1049"/>
      <c r="W2" s="1049"/>
      <c r="X2" s="1053"/>
      <c r="Y2" s="1053"/>
      <c r="Z2" s="1053"/>
      <c r="AA2" s="1054"/>
      <c r="AB2" s="1054"/>
      <c r="AC2" s="1054"/>
      <c r="AD2" s="1054"/>
      <c r="AE2" s="1054"/>
      <c r="AF2" s="1054"/>
    </row>
    <row r="3" spans="1:32" ht="17.25" thickTop="1" x14ac:dyDescent="0.3"/>
    <row r="4" spans="1:32" x14ac:dyDescent="0.3">
      <c r="B4" s="72" t="s">
        <v>0</v>
      </c>
      <c r="C4" s="96" t="str">
        <f>IF('HVAC Inputs'!C6="","",'HVAC Inputs'!C6)</f>
        <v/>
      </c>
      <c r="D4" s="96"/>
    </row>
    <row r="5" spans="1:32" x14ac:dyDescent="0.3">
      <c r="B5" s="72" t="s">
        <v>687</v>
      </c>
      <c r="C5" s="97" t="str">
        <f>IF('HVAC Inputs'!C11:D11="","",'HVAC Inputs'!C11:D11)</f>
        <v/>
      </c>
      <c r="D5" s="97"/>
    </row>
    <row r="6" spans="1:32" ht="17.25" thickBot="1" x14ac:dyDescent="0.35"/>
    <row r="7" spans="1:32" ht="33.75" thickBot="1" x14ac:dyDescent="0.35">
      <c r="B7" s="1007" t="s">
        <v>267</v>
      </c>
      <c r="C7" s="778" t="s">
        <v>16</v>
      </c>
      <c r="D7" s="778" t="s">
        <v>264</v>
      </c>
      <c r="E7" s="778" t="s">
        <v>265</v>
      </c>
      <c r="F7" s="779" t="s">
        <v>919</v>
      </c>
      <c r="G7" s="215"/>
      <c r="H7" s="777" t="s">
        <v>266</v>
      </c>
      <c r="I7" s="778" t="s">
        <v>893</v>
      </c>
      <c r="J7" s="778" t="s">
        <v>920</v>
      </c>
      <c r="K7" s="1009" t="s">
        <v>17</v>
      </c>
    </row>
    <row r="8" spans="1:32" hidden="1" x14ac:dyDescent="0.3">
      <c r="B8" s="1003" t="s">
        <v>221</v>
      </c>
      <c r="C8" s="1004" t="str">
        <f>IF(SUMIF(Calculations!$AG$6:$AG$30,$B8,Calculations!$S$6:$S$30)=0,"",SUMIF(Calculations!$AG$6:$AG$30,$B8,Calculations!$S$6:$S$30))</f>
        <v/>
      </c>
      <c r="D8" s="1005" t="str">
        <f>IF(H8="","",H8/C8)</f>
        <v/>
      </c>
      <c r="E8" s="1006" t="str">
        <f>IF(I8="","",I8/C8)</f>
        <v/>
      </c>
      <c r="F8" s="1006" t="str">
        <f>IF(J8="","",J8/D8)</f>
        <v/>
      </c>
      <c r="G8" s="214"/>
      <c r="H8" s="1005" t="str">
        <f>IF(SUMIF(Calculations!$AG$6:$AG$30,$B8,Calculations!$AJ$6:$AJ$30)=0,"",SUMIF(Calculations!$AG$6:$AG$30,$B8,Calculations!$AJ$6:$AJ$30))</f>
        <v/>
      </c>
      <c r="I8" s="1006" t="str">
        <f>IF(SUMIF(Calculations!$AG$6:$AG$30,$B8,Calculations!$AM$6:$AM$30)=0,"",SUMIF(Calculations!$AG$6:$AG$30,$B8,Calculations!$AM$6:$AM$30))</f>
        <v/>
      </c>
      <c r="J8" s="1006" t="str">
        <f>IF(SUMIF(Calculations!$AG$6:$AG$30,$B8,Calculations!$AR$6:$AR$30)=0,"",SUMIF(Calculations!$AG$6:$AG$30,$B8,Calculations!$AR$6:$AR$30))</f>
        <v/>
      </c>
      <c r="K8" s="1008" t="str">
        <f>IF(SUMIF(Calculations!$AG$6:$AG$30,$B8,Calculations!$BA$6:$BA$30)=0,"",SUMIF(Calculations!$AG$6:$AG$30,$B8,Calculations!$BA$6:$BA$30))</f>
        <v/>
      </c>
    </row>
    <row r="9" spans="1:32" hidden="1" x14ac:dyDescent="0.3">
      <c r="B9" s="770" t="s">
        <v>222</v>
      </c>
      <c r="C9" s="1010" t="str">
        <f>IF(SUMIF(Calculations!$AG$6:$AG$30,$B9,Calculations!$S$6:$S$30)=0,"",SUMIF(Calculations!$AG$6:$AG$30,$B9,Calculations!$S$6:$S$30))</f>
        <v/>
      </c>
      <c r="D9" s="771" t="str">
        <f t="shared" ref="D9:D43" si="0">IF(H9="","",H9/C9)</f>
        <v/>
      </c>
      <c r="E9" s="775" t="str">
        <f t="shared" ref="E9:F43" si="1">IF(I9="","",I9/C9)</f>
        <v/>
      </c>
      <c r="F9" s="775" t="str">
        <f t="shared" si="1"/>
        <v/>
      </c>
      <c r="G9" s="214"/>
      <c r="H9" s="771" t="str">
        <f>IF(SUMIF(Calculations!$AG$6:$AG$30,$B9,Calculations!$AJ$6:$AJ$30)=0,"",SUMIF(Calculations!$AG$6:$AG$30,$B9,Calculations!$AJ$6:$AJ$30))</f>
        <v/>
      </c>
      <c r="I9" s="775" t="str">
        <f>IF(SUMIF(Calculations!$AG$6:$AG$30,$B9,Calculations!$AM$6:$AM$30)=0,"",SUMIF(Calculations!$AG$6:$AG$30,$B9,Calculations!$AM$6:$AM$30))</f>
        <v/>
      </c>
      <c r="J9" s="775" t="str">
        <f>IF(SUMIF(Calculations!$AG$6:$AG$30,$B9,Calculations!$AR$6:$AR$30)=0,"",SUMIF(Calculations!$AG$6:$AG$30,$B9,Calculations!$AR$6:$AR$30))</f>
        <v/>
      </c>
      <c r="K9" s="776" t="str">
        <f>IF(SUMIF(Calculations!$AG$6:$AG$30,$B9,Calculations!$BA$6:$BA$30)=0,"",SUMIF(Calculations!$AG$6:$AG$30,$B9,Calculations!$BA$6:$BA$30))</f>
        <v/>
      </c>
    </row>
    <row r="10" spans="1:32" x14ac:dyDescent="0.3">
      <c r="B10" s="1011" t="s">
        <v>159</v>
      </c>
      <c r="C10" s="1012" t="str">
        <f>IF(SUMIF(Calculations!$AG$6:$AG$30,$B10,Calculations!$S$6:$S$30)=0,"",SUMIF(Calculations!$AG$6:$AG$30,$B10,Calculations!$S$6:$S$30))</f>
        <v/>
      </c>
      <c r="D10" s="1013" t="str">
        <f t="shared" si="0"/>
        <v/>
      </c>
      <c r="E10" s="1014" t="str">
        <f t="shared" si="1"/>
        <v/>
      </c>
      <c r="F10" s="1015" t="str">
        <f>IF(J10="","",J10/C10)</f>
        <v/>
      </c>
      <c r="G10" s="1025"/>
      <c r="H10" s="1026" t="str">
        <f>IF(SUMIF(Calculations!$AG$6:$AG$30,$B10,Calculations!$AT$6:$AT$30)=0,"",SUMIF(Calculations!$AG$6:$AG$30,$B10,Calculations!$AT$6:$AT$30))</f>
        <v/>
      </c>
      <c r="I10" s="1014" t="str">
        <f>IF(SUMIF(Calculations!$AG$6:$AG$30,$B10,Calculations!$AV$6:$AV$30)=0,"",SUMIF(Calculations!$AG$6:$AG$30,$B10,Calculations!$AV$6:$AV$30))</f>
        <v/>
      </c>
      <c r="J10" s="1014" t="str">
        <f>IF(SUMIF(Calculations!$AG$6:$AG$30,$B10,Calculations!$AW$6:$AW$30)=0,"",SUMIF(Calculations!$AG$6:$AG$30,$B10,Calculations!$AW$6:$AW$30))</f>
        <v/>
      </c>
      <c r="K10" s="1027" t="str">
        <f>IF(SUMIF(Calculations!$AG$6:$AG$30,$B10,Calculations!$BA$6:$BA$30)=0,"",SUMIF(Calculations!$AG$6:$AG$30,$B10,Calculations!$BA$6:$BA$30))</f>
        <v/>
      </c>
    </row>
    <row r="11" spans="1:32" hidden="1" x14ac:dyDescent="0.3">
      <c r="B11" s="1016" t="s">
        <v>160</v>
      </c>
      <c r="C11" s="211" t="str">
        <f>IF(SUMIF(Calculations!$AG$6:$AG$30,$B11,Calculations!$S$6:$S$30)=0,"",SUMIF(Calculations!$AG$6:$AG$30,$B11,Calculations!$S$6:$S$30))</f>
        <v/>
      </c>
      <c r="D11" s="212" t="str">
        <f t="shared" si="0"/>
        <v/>
      </c>
      <c r="E11" s="213" t="str">
        <f t="shared" si="1"/>
        <v/>
      </c>
      <c r="F11" s="1017" t="str">
        <f t="shared" ref="F11:F68" si="2">IF(J11="","",J11/C11)</f>
        <v/>
      </c>
      <c r="G11" s="1025"/>
      <c r="H11" s="1028" t="str">
        <f>IF(SUMIF(Calculations!$AG$6:$AG$30,$B11,Calculations!$AT$6:$AT$30)=0,"",SUMIF(Calculations!$AG$6:$AG$30,$B11,Calculations!$AT$6:$AT$30))</f>
        <v/>
      </c>
      <c r="I11" s="213" t="str">
        <f>IF(SUMIF(Calculations!$AG$6:$AG$30,$B11,Calculations!$AV$6:$AV$30)=0,"",SUMIF(Calculations!$AG$6:$AG$30,$B11,Calculations!$AV$6:$AV$30))</f>
        <v/>
      </c>
      <c r="J11" s="213" t="str">
        <f>IF(SUMIF(Calculations!$AG$6:$AG$30,$B11,Calculations!$AW$6:$AW$30)=0,"",SUMIF(Calculations!$AG$6:$AG$30,$B11,Calculations!$AW$6:$AW$30))</f>
        <v/>
      </c>
      <c r="K11" s="1029" t="str">
        <f>IF(SUMIF(Calculations!$AG$6:$AG$30,$B11,Calculations!$BA$6:$BA$30)=0,"",SUMIF(Calculations!$AG$6:$AG$30,$B11,Calculations!$BA$6:$BA$30))</f>
        <v/>
      </c>
    </row>
    <row r="12" spans="1:32" hidden="1" x14ac:dyDescent="0.3">
      <c r="B12" s="1016" t="s">
        <v>223</v>
      </c>
      <c r="C12" s="211" t="str">
        <f>IF(SUMIF(Calculations!$AG$6:$AG$30,$B12,Calculations!$S$6:$S$30)=0,"",SUMIF(Calculations!$AG$6:$AG$30,$B12,Calculations!$S$6:$S$30))</f>
        <v/>
      </c>
      <c r="D12" s="212" t="str">
        <f t="shared" si="0"/>
        <v/>
      </c>
      <c r="E12" s="213" t="str">
        <f t="shared" si="1"/>
        <v/>
      </c>
      <c r="F12" s="1017" t="str">
        <f t="shared" si="2"/>
        <v/>
      </c>
      <c r="G12" s="1025"/>
      <c r="H12" s="1028" t="str">
        <f>IF(SUMIF(Calculations!$AG$6:$AG$30,$B12,Calculations!$AT$6:$AT$30)=0,"",SUMIF(Calculations!$AG$6:$AG$30,$B12,Calculations!$AT$6:$AT$30))</f>
        <v/>
      </c>
      <c r="I12" s="213" t="str">
        <f>IF(SUMIF(Calculations!$AG$6:$AG$30,$B12,Calculations!$AV$6:$AV$30)=0,"",SUMIF(Calculations!$AG$6:$AG$30,$B12,Calculations!$AV$6:$AV$30))</f>
        <v/>
      </c>
      <c r="J12" s="213" t="str">
        <f>IF(SUMIF(Calculations!$AG$6:$AG$30,$B12,Calculations!$AW$6:$AW$30)=0,"",SUMIF(Calculations!$AG$6:$AG$30,$B12,Calculations!$AW$6:$AW$30))</f>
        <v/>
      </c>
      <c r="K12" s="1029" t="str">
        <f>IF(SUMIF(Calculations!$AG$6:$AG$30,$B12,Calculations!$BA$6:$BA$30)=0,"",SUMIF(Calculations!$AG$6:$AG$30,$B12,Calculations!$BA$6:$BA$30))</f>
        <v/>
      </c>
    </row>
    <row r="13" spans="1:32" x14ac:dyDescent="0.3">
      <c r="B13" s="1016" t="s">
        <v>233</v>
      </c>
      <c r="C13" s="211" t="str">
        <f>IF(SUMIF(Calculations!$AG$6:$AG$30,$B13,Calculations!$S$6:$S$30)=0,"",SUMIF(Calculations!$AG$6:$AG$30,$B13,Calculations!$S$6:$S$30))</f>
        <v/>
      </c>
      <c r="D13" s="212" t="str">
        <f t="shared" si="0"/>
        <v/>
      </c>
      <c r="E13" s="213" t="str">
        <f t="shared" si="1"/>
        <v/>
      </c>
      <c r="F13" s="1017" t="str">
        <f t="shared" si="2"/>
        <v/>
      </c>
      <c r="G13" s="1025"/>
      <c r="H13" s="1028" t="str">
        <f>IF(SUMIF(Calculations!$AG$6:$AG$30,$B13,Calculations!$AT$6:$AT$30)=0,"",SUMIF(Calculations!$AG$6:$AG$30,$B13,Calculations!$AT$6:$AT$30))</f>
        <v/>
      </c>
      <c r="I13" s="213" t="str">
        <f>IF(SUMIF(Calculations!$AG$6:$AG$30,$B13,Calculations!$AV$6:$AV$30)=0,"",SUMIF(Calculations!$AG$6:$AG$30,$B13,Calculations!$AV$6:$AV$30))</f>
        <v/>
      </c>
      <c r="J13" s="213" t="str">
        <f>IF(SUMIF(Calculations!$AG$6:$AG$30,$B13,Calculations!$AW$6:$AW$30)=0,"",SUMIF(Calculations!$AG$6:$AG$30,$B13,Calculations!$AW$6:$AW$30))</f>
        <v/>
      </c>
      <c r="K13" s="1029" t="str">
        <f>IF(SUMIF(Calculations!$AG$6:$AG$30,$B13,Calculations!$BA$6:$BA$30)=0,"",SUMIF(Calculations!$AG$6:$AG$30,$B13,Calculations!$BA$6:$BA$30))</f>
        <v/>
      </c>
    </row>
    <row r="14" spans="1:32" hidden="1" x14ac:dyDescent="0.3">
      <c r="B14" s="1016" t="s">
        <v>245</v>
      </c>
      <c r="C14" s="211" t="str">
        <f>IF(SUMIF(Calculations!$AG$6:$AG$30,$B14,Calculations!$S$6:$S$30)=0,"",SUMIF(Calculations!$AG$6:$AG$30,$B14,Calculations!$S$6:$S$30))</f>
        <v/>
      </c>
      <c r="D14" s="212" t="str">
        <f t="shared" si="0"/>
        <v/>
      </c>
      <c r="E14" s="213" t="str">
        <f t="shared" si="1"/>
        <v/>
      </c>
      <c r="F14" s="1017" t="str">
        <f t="shared" si="2"/>
        <v/>
      </c>
      <c r="G14" s="1025"/>
      <c r="H14" s="1028" t="str">
        <f>IF(SUMIF(Calculations!$AG$6:$AG$30,$B14,Calculations!$AT$6:$AT$30)=0,"",SUMIF(Calculations!$AG$6:$AG$30,$B14,Calculations!$AT$6:$AT$30))</f>
        <v/>
      </c>
      <c r="I14" s="213" t="str">
        <f>IF(SUMIF(Calculations!$AG$6:$AG$30,$B14,Calculations!$AV$6:$AV$30)=0,"",SUMIF(Calculations!$AG$6:$AG$30,$B14,Calculations!$AV$6:$AV$30))</f>
        <v/>
      </c>
      <c r="J14" s="213" t="str">
        <f>IF(SUMIF(Calculations!$AG$6:$AG$30,$B14,Calculations!$AW$6:$AW$30)=0,"",SUMIF(Calculations!$AG$6:$AG$30,$B14,Calculations!$AW$6:$AW$30))</f>
        <v/>
      </c>
      <c r="K14" s="1029" t="str">
        <f>IF(SUMIF(Calculations!$AG$6:$AG$30,$B14,Calculations!$BA$6:$BA$30)=0,"",SUMIF(Calculations!$AG$6:$AG$30,$B14,Calculations!$BA$6:$BA$30))</f>
        <v/>
      </c>
    </row>
    <row r="15" spans="1:32" hidden="1" x14ac:dyDescent="0.3">
      <c r="B15" s="1016" t="s">
        <v>224</v>
      </c>
      <c r="C15" s="211" t="str">
        <f>IF(SUMIF(Calculations!$AG$6:$AG$30,$B15,Calculations!$S$6:$S$30)=0,"",SUMIF(Calculations!$AG$6:$AG$30,$B15,Calculations!$S$6:$S$30))</f>
        <v/>
      </c>
      <c r="D15" s="212" t="str">
        <f t="shared" si="0"/>
        <v/>
      </c>
      <c r="E15" s="213" t="str">
        <f t="shared" si="1"/>
        <v/>
      </c>
      <c r="F15" s="1017" t="str">
        <f t="shared" si="2"/>
        <v/>
      </c>
      <c r="G15" s="1025"/>
      <c r="H15" s="1028" t="str">
        <f>IF(SUMIF(Calculations!$AG$6:$AG$30,$B15,Calculations!$AT$6:$AT$30)=0,"",SUMIF(Calculations!$AG$6:$AG$30,$B15,Calculations!$AT$6:$AT$30))</f>
        <v/>
      </c>
      <c r="I15" s="213" t="str">
        <f>IF(SUMIF(Calculations!$AG$6:$AG$30,$B15,Calculations!$AV$6:$AV$30)=0,"",SUMIF(Calculations!$AG$6:$AG$30,$B15,Calculations!$AV$6:$AV$30))</f>
        <v/>
      </c>
      <c r="J15" s="213" t="str">
        <f>IF(SUMIF(Calculations!$AG$6:$AG$30,$B15,Calculations!$AW$6:$AW$30)=0,"",SUMIF(Calculations!$AG$6:$AG$30,$B15,Calculations!$AW$6:$AW$30))</f>
        <v/>
      </c>
      <c r="K15" s="1029" t="str">
        <f>IF(SUMIF(Calculations!$AG$6:$AG$30,$B15,Calculations!$BA$6:$BA$30)=0,"",SUMIF(Calculations!$AG$6:$AG$30,$B15,Calculations!$BA$6:$BA$30))</f>
        <v/>
      </c>
    </row>
    <row r="16" spans="1:32" x14ac:dyDescent="0.3">
      <c r="B16" s="1016" t="s">
        <v>234</v>
      </c>
      <c r="C16" s="211" t="str">
        <f>IF(SUMIF(Calculations!$AG$6:$AG$30,$B16,Calculations!$S$6:$S$30)=0,"",SUMIF(Calculations!$AG$6:$AG$30,$B16,Calculations!$S$6:$S$30))</f>
        <v/>
      </c>
      <c r="D16" s="212" t="str">
        <f t="shared" si="0"/>
        <v/>
      </c>
      <c r="E16" s="213" t="str">
        <f t="shared" si="1"/>
        <v/>
      </c>
      <c r="F16" s="1017" t="str">
        <f t="shared" si="2"/>
        <v/>
      </c>
      <c r="G16" s="1025"/>
      <c r="H16" s="1028" t="str">
        <f>IF(SUMIF(Calculations!$AG$6:$AG$30,$B16,Calculations!$AT$6:$AT$30)=0,"",SUMIF(Calculations!$AG$6:$AG$30,$B16,Calculations!$AT$6:$AT$30))</f>
        <v/>
      </c>
      <c r="I16" s="213" t="str">
        <f>IF(SUMIF(Calculations!$AG$6:$AG$30,$B16,Calculations!$AV$6:$AV$30)=0,"",SUMIF(Calculations!$AG$6:$AG$30,$B16,Calculations!$AV$6:$AV$30))</f>
        <v/>
      </c>
      <c r="J16" s="213" t="str">
        <f>IF(SUMIF(Calculations!$AG$6:$AG$30,$B16,Calculations!$AW$6:$AW$30)=0,"",SUMIF(Calculations!$AG$6:$AG$30,$B16,Calculations!$AW$6:$AW$30))</f>
        <v/>
      </c>
      <c r="K16" s="1029" t="str">
        <f>IF(SUMIF(Calculations!$AG$6:$AG$30,$B16,Calculations!$BA$6:$BA$30)=0,"",SUMIF(Calculations!$AG$6:$AG$30,$B16,Calculations!$BA$6:$BA$30))</f>
        <v/>
      </c>
    </row>
    <row r="17" spans="2:11" hidden="1" x14ac:dyDescent="0.3">
      <c r="B17" s="1016" t="s">
        <v>246</v>
      </c>
      <c r="C17" s="211" t="str">
        <f>IF(SUMIF(Calculations!$AG$6:$AG$30,$B17,Calculations!$S$6:$S$30)=0,"",SUMIF(Calculations!$AG$6:$AG$30,$B17,Calculations!$S$6:$S$30))</f>
        <v/>
      </c>
      <c r="D17" s="212" t="str">
        <f t="shared" si="0"/>
        <v/>
      </c>
      <c r="E17" s="213" t="str">
        <f t="shared" si="1"/>
        <v/>
      </c>
      <c r="F17" s="1017" t="str">
        <f t="shared" si="2"/>
        <v/>
      </c>
      <c r="G17" s="1025"/>
      <c r="H17" s="1028" t="str">
        <f>IF(SUMIF(Calculations!$AG$6:$AG$30,$B17,Calculations!$AT$6:$AT$30)=0,"",SUMIF(Calculations!$AG$6:$AG$30,$B17,Calculations!$AT$6:$AT$30))</f>
        <v/>
      </c>
      <c r="I17" s="213" t="str">
        <f>IF(SUMIF(Calculations!$AG$6:$AG$30,$B17,Calculations!$AV$6:$AV$30)=0,"",SUMIF(Calculations!$AG$6:$AG$30,$B17,Calculations!$AV$6:$AV$30))</f>
        <v/>
      </c>
      <c r="J17" s="213" t="str">
        <f>IF(SUMIF(Calculations!$AG$6:$AG$30,$B17,Calculations!$AW$6:$AW$30)=0,"",SUMIF(Calculations!$AG$6:$AG$30,$B17,Calculations!$AW$6:$AW$30))</f>
        <v/>
      </c>
      <c r="K17" s="1029" t="str">
        <f>IF(SUMIF(Calculations!$AG$6:$AG$30,$B17,Calculations!$BA$6:$BA$30)=0,"",SUMIF(Calculations!$AG$6:$AG$30,$B17,Calculations!$BA$6:$BA$30))</f>
        <v/>
      </c>
    </row>
    <row r="18" spans="2:11" hidden="1" x14ac:dyDescent="0.3">
      <c r="B18" s="1016" t="s">
        <v>225</v>
      </c>
      <c r="C18" s="211" t="str">
        <f>IF(SUMIF(Calculations!$AG$6:$AG$30,$B18,Calculations!$S$6:$S$30)=0,"",SUMIF(Calculations!$AG$6:$AG$30,$B18,Calculations!$S$6:$S$30))</f>
        <v/>
      </c>
      <c r="D18" s="212" t="str">
        <f t="shared" si="0"/>
        <v/>
      </c>
      <c r="E18" s="213" t="str">
        <f t="shared" si="1"/>
        <v/>
      </c>
      <c r="F18" s="1017" t="str">
        <f t="shared" si="2"/>
        <v/>
      </c>
      <c r="G18" s="1025"/>
      <c r="H18" s="1028" t="str">
        <f>IF(SUMIF(Calculations!$AG$6:$AG$30,$B18,Calculations!$AT$6:$AT$30)=0,"",SUMIF(Calculations!$AG$6:$AG$30,$B18,Calculations!$AT$6:$AT$30))</f>
        <v/>
      </c>
      <c r="I18" s="213" t="str">
        <f>IF(SUMIF(Calculations!$AG$6:$AG$30,$B18,Calculations!$AV$6:$AV$30)=0,"",SUMIF(Calculations!$AG$6:$AG$30,$B18,Calculations!$AV$6:$AV$30))</f>
        <v/>
      </c>
      <c r="J18" s="213" t="str">
        <f>IF(SUMIF(Calculations!$AG$6:$AG$30,$B18,Calculations!$AW$6:$AW$30)=0,"",SUMIF(Calculations!$AG$6:$AG$30,$B18,Calculations!$AW$6:$AW$30))</f>
        <v/>
      </c>
      <c r="K18" s="1029" t="str">
        <f>IF(SUMIF(Calculations!$AG$6:$AG$30,$B18,Calculations!$BA$6:$BA$30)=0,"",SUMIF(Calculations!$AG$6:$AG$30,$B18,Calculations!$BA$6:$BA$30))</f>
        <v/>
      </c>
    </row>
    <row r="19" spans="2:11" x14ac:dyDescent="0.3">
      <c r="B19" s="1016" t="s">
        <v>235</v>
      </c>
      <c r="C19" s="211" t="str">
        <f>IF(SUMIF(Calculations!$AG$6:$AG$30,$B19,Calculations!$S$6:$S$30)=0,"",SUMIF(Calculations!$AG$6:$AG$30,$B19,Calculations!$S$6:$S$30))</f>
        <v/>
      </c>
      <c r="D19" s="212" t="str">
        <f t="shared" si="0"/>
        <v/>
      </c>
      <c r="E19" s="213" t="str">
        <f t="shared" si="1"/>
        <v/>
      </c>
      <c r="F19" s="1017" t="str">
        <f t="shared" si="2"/>
        <v/>
      </c>
      <c r="G19" s="1025"/>
      <c r="H19" s="1028" t="str">
        <f>IF(SUMIF(Calculations!$AG$6:$AG$30,$B19,Calculations!$AT$6:$AT$30)=0,"",SUMIF(Calculations!$AG$6:$AG$30,$B19,Calculations!$AT$6:$AT$30))</f>
        <v/>
      </c>
      <c r="I19" s="213" t="str">
        <f>IF(SUMIF(Calculations!$AG$6:$AG$30,$B19,Calculations!$AV$6:$AV$30)=0,"",SUMIF(Calculations!$AG$6:$AG$30,$B19,Calculations!$AV$6:$AV$30))</f>
        <v/>
      </c>
      <c r="J19" s="213" t="str">
        <f>IF(SUMIF(Calculations!$AG$6:$AG$30,$B19,Calculations!$AW$6:$AW$30)=0,"",SUMIF(Calculations!$AG$6:$AG$30,$B19,Calculations!$AW$6:$AW$30))</f>
        <v/>
      </c>
      <c r="K19" s="1029" t="str">
        <f>IF(SUMIF(Calculations!$AG$6:$AG$30,$B19,Calculations!$BA$6:$BA$30)=0,"",SUMIF(Calculations!$AG$6:$AG$30,$B19,Calculations!$BA$6:$BA$30))</f>
        <v/>
      </c>
    </row>
    <row r="20" spans="2:11" hidden="1" x14ac:dyDescent="0.3">
      <c r="B20" s="1016" t="s">
        <v>247</v>
      </c>
      <c r="C20" s="211" t="str">
        <f>IF(SUMIF(Calculations!$AG$6:$AG$30,$B20,Calculations!$S$6:$S$30)=0,"",SUMIF(Calculations!$AG$6:$AG$30,$B20,Calculations!$S$6:$S$30))</f>
        <v/>
      </c>
      <c r="D20" s="212" t="str">
        <f t="shared" si="0"/>
        <v/>
      </c>
      <c r="E20" s="213" t="str">
        <f t="shared" si="1"/>
        <v/>
      </c>
      <c r="F20" s="1017" t="str">
        <f t="shared" si="2"/>
        <v/>
      </c>
      <c r="G20" s="1025"/>
      <c r="H20" s="1028" t="str">
        <f>IF(SUMIF(Calculations!$AG$6:$AG$30,$B20,Calculations!$AT$6:$AT$30)=0,"",SUMIF(Calculations!$AG$6:$AG$30,$B20,Calculations!$AT$6:$AT$30))</f>
        <v/>
      </c>
      <c r="I20" s="213" t="str">
        <f>IF(SUMIF(Calculations!$AG$6:$AG$30,$B20,Calculations!$AV$6:$AV$30)=0,"",SUMIF(Calculations!$AG$6:$AG$30,$B20,Calculations!$AV$6:$AV$30))</f>
        <v/>
      </c>
      <c r="J20" s="213" t="str">
        <f>IF(SUMIF(Calculations!$AG$6:$AG$30,$B20,Calculations!$AW$6:$AW$30)=0,"",SUMIF(Calculations!$AG$6:$AG$30,$B20,Calculations!$AW$6:$AW$30))</f>
        <v/>
      </c>
      <c r="K20" s="1029" t="str">
        <f>IF(SUMIF(Calculations!$AG$6:$AG$30,$B20,Calculations!$BA$6:$BA$30)=0,"",SUMIF(Calculations!$AG$6:$AG$30,$B20,Calculations!$BA$6:$BA$30))</f>
        <v/>
      </c>
    </row>
    <row r="21" spans="2:11" hidden="1" x14ac:dyDescent="0.3">
      <c r="B21" s="1016" t="s">
        <v>226</v>
      </c>
      <c r="C21" s="211" t="str">
        <f>IF(SUMIF(Calculations!$AG$6:$AG$30,$B21,Calculations!$S$6:$S$30)=0,"",SUMIF(Calculations!$AG$6:$AG$30,$B21,Calculations!$S$6:$S$30))</f>
        <v/>
      </c>
      <c r="D21" s="212" t="str">
        <f t="shared" si="0"/>
        <v/>
      </c>
      <c r="E21" s="213" t="str">
        <f t="shared" si="1"/>
        <v/>
      </c>
      <c r="F21" s="1017" t="str">
        <f t="shared" si="2"/>
        <v/>
      </c>
      <c r="G21" s="1025"/>
      <c r="H21" s="1028" t="str">
        <f>IF(SUMIF(Calculations!$AG$6:$AG$30,$B21,Calculations!$AT$6:$AT$30)=0,"",SUMIF(Calculations!$AG$6:$AG$30,$B21,Calculations!$AT$6:$AT$30))</f>
        <v/>
      </c>
      <c r="I21" s="213" t="str">
        <f>IF(SUMIF(Calculations!$AG$6:$AG$30,$B21,Calculations!$AV$6:$AV$30)=0,"",SUMIF(Calculations!$AG$6:$AG$30,$B21,Calculations!$AV$6:$AV$30))</f>
        <v/>
      </c>
      <c r="J21" s="213" t="str">
        <f>IF(SUMIF(Calculations!$AG$6:$AG$30,$B21,Calculations!$AW$6:$AW$30)=0,"",SUMIF(Calculations!$AG$6:$AG$30,$B21,Calculations!$AW$6:$AW$30))</f>
        <v/>
      </c>
      <c r="K21" s="1029" t="str">
        <f>IF(SUMIF(Calculations!$AG$6:$AG$30,$B21,Calculations!$BA$6:$BA$30)=0,"",SUMIF(Calculations!$AG$6:$AG$30,$B21,Calculations!$BA$6:$BA$30))</f>
        <v/>
      </c>
    </row>
    <row r="22" spans="2:11" x14ac:dyDescent="0.3">
      <c r="B22" s="1016" t="s">
        <v>236</v>
      </c>
      <c r="C22" s="211" t="str">
        <f>IF(SUMIF(Calculations!$AG$6:$AG$30,$B22,Calculations!$S$6:$S$30)=0,"",SUMIF(Calculations!$AG$6:$AG$30,$B22,Calculations!$S$6:$S$30))</f>
        <v/>
      </c>
      <c r="D22" s="212" t="str">
        <f t="shared" si="0"/>
        <v/>
      </c>
      <c r="E22" s="213" t="str">
        <f t="shared" si="1"/>
        <v/>
      </c>
      <c r="F22" s="1017" t="str">
        <f t="shared" si="2"/>
        <v/>
      </c>
      <c r="G22" s="1025"/>
      <c r="H22" s="1028" t="str">
        <f>IF(SUMIF(Calculations!$AG$6:$AG$30,$B22,Calculations!$AT$6:$AT$30)=0,"",SUMIF(Calculations!$AG$6:$AG$30,$B22,Calculations!$AT$6:$AT$30))</f>
        <v/>
      </c>
      <c r="I22" s="213" t="str">
        <f>IF(SUMIF(Calculations!$AG$6:$AG$30,$B22,Calculations!$AV$6:$AV$30)=0,"",SUMIF(Calculations!$AG$6:$AG$30,$B22,Calculations!$AV$6:$AV$30))</f>
        <v/>
      </c>
      <c r="J22" s="213" t="str">
        <f>IF(SUMIF(Calculations!$AG$6:$AG$30,$B22,Calculations!$AW$6:$AW$30)=0,"",SUMIF(Calculations!$AG$6:$AG$30,$B22,Calculations!$AW$6:$AW$30))</f>
        <v/>
      </c>
      <c r="K22" s="1029" t="str">
        <f>IF(SUMIF(Calculations!$AG$6:$AG$30,$B22,Calculations!$BA$6:$BA$30)=0,"",SUMIF(Calculations!$AG$6:$AG$30,$B22,Calculations!$BA$6:$BA$30))</f>
        <v/>
      </c>
    </row>
    <row r="23" spans="2:11" hidden="1" x14ac:dyDescent="0.3">
      <c r="B23" s="1016" t="s">
        <v>248</v>
      </c>
      <c r="C23" s="211" t="str">
        <f>IF(SUMIF(Calculations!$AG$6:$AG$30,$B23,Calculations!$S$6:$S$30)=0,"",SUMIF(Calculations!$AG$6:$AG$30,$B23,Calculations!$S$6:$S$30))</f>
        <v/>
      </c>
      <c r="D23" s="212" t="str">
        <f t="shared" si="0"/>
        <v/>
      </c>
      <c r="E23" s="213" t="str">
        <f t="shared" si="1"/>
        <v/>
      </c>
      <c r="F23" s="1017" t="str">
        <f t="shared" si="2"/>
        <v/>
      </c>
      <c r="G23" s="1025"/>
      <c r="H23" s="1028" t="str">
        <f>IF(SUMIF(Calculations!$AG$6:$AG$30,$B23,Calculations!$AT$6:$AT$30)=0,"",SUMIF(Calculations!$AG$6:$AG$30,$B23,Calculations!$AT$6:$AT$30))</f>
        <v/>
      </c>
      <c r="I23" s="213" t="str">
        <f>IF(SUMIF(Calculations!$AG$6:$AG$30,$B23,Calculations!$AV$6:$AV$30)=0,"",SUMIF(Calculations!$AG$6:$AG$30,$B23,Calculations!$AV$6:$AV$30))</f>
        <v/>
      </c>
      <c r="J23" s="213" t="str">
        <f>IF(SUMIF(Calculations!$AG$6:$AG$30,$B23,Calculations!$AW$6:$AW$30)=0,"",SUMIF(Calculations!$AG$6:$AG$30,$B23,Calculations!$AW$6:$AW$30))</f>
        <v/>
      </c>
      <c r="K23" s="1029" t="str">
        <f>IF(SUMIF(Calculations!$AG$6:$AG$30,$B23,Calculations!$BA$6:$BA$30)=0,"",SUMIF(Calculations!$AG$6:$AG$30,$B23,Calculations!$BA$6:$BA$30))</f>
        <v/>
      </c>
    </row>
    <row r="24" spans="2:11" hidden="1" x14ac:dyDescent="0.3">
      <c r="B24" s="1016" t="s">
        <v>227</v>
      </c>
      <c r="C24" s="211" t="str">
        <f>IF(SUMIF(Calculations!$AG$6:$AG$30,$B24,Calculations!$S$6:$S$30)=0,"",SUMIF(Calculations!$AG$6:$AG$30,$B24,Calculations!$S$6:$S$30))</f>
        <v/>
      </c>
      <c r="D24" s="212" t="str">
        <f t="shared" si="0"/>
        <v/>
      </c>
      <c r="E24" s="213" t="str">
        <f t="shared" si="1"/>
        <v/>
      </c>
      <c r="F24" s="1017" t="str">
        <f t="shared" si="2"/>
        <v/>
      </c>
      <c r="G24" s="1025"/>
      <c r="H24" s="1028" t="str">
        <f>IF(SUMIF(Calculations!$AG$6:$AG$30,$B24,Calculations!$AT$6:$AT$30)=0,"",SUMIF(Calculations!$AG$6:$AG$30,$B24,Calculations!$AT$6:$AT$30))</f>
        <v/>
      </c>
      <c r="I24" s="213" t="str">
        <f>IF(SUMIF(Calculations!$AG$6:$AG$30,$B24,Calculations!$AV$6:$AV$30)=0,"",SUMIF(Calculations!$AG$6:$AG$30,$B24,Calculations!$AV$6:$AV$30))</f>
        <v/>
      </c>
      <c r="J24" s="213" t="str">
        <f>IF(SUMIF(Calculations!$AG$6:$AG$30,$B24,Calculations!$AW$6:$AW$30)=0,"",SUMIF(Calculations!$AG$6:$AG$30,$B24,Calculations!$AW$6:$AW$30))</f>
        <v/>
      </c>
      <c r="K24" s="1029" t="str">
        <f>IF(SUMIF(Calculations!$AG$6:$AG$30,$B24,Calculations!$BA$6:$BA$30)=0,"",SUMIF(Calculations!$AG$6:$AG$30,$B24,Calculations!$BA$6:$BA$30))</f>
        <v/>
      </c>
    </row>
    <row r="25" spans="2:11" x14ac:dyDescent="0.3">
      <c r="B25" s="1016" t="s">
        <v>237</v>
      </c>
      <c r="C25" s="211" t="str">
        <f>IF(SUMIF(Calculations!$AG$6:$AG$30,$B25,Calculations!$S$6:$S$30)=0,"",SUMIF(Calculations!$AG$6:$AG$30,$B25,Calculations!$S$6:$S$30))</f>
        <v/>
      </c>
      <c r="D25" s="212" t="str">
        <f t="shared" si="0"/>
        <v/>
      </c>
      <c r="E25" s="213" t="str">
        <f t="shared" si="1"/>
        <v/>
      </c>
      <c r="F25" s="1017" t="str">
        <f t="shared" si="2"/>
        <v/>
      </c>
      <c r="G25" s="1025"/>
      <c r="H25" s="1028" t="str">
        <f>IF(SUMIF(Calculations!$AG$6:$AG$30,$B25,Calculations!$AT$6:$AT$30)=0,"",SUMIF(Calculations!$AG$6:$AG$30,$B25,Calculations!$AT$6:$AT$30))</f>
        <v/>
      </c>
      <c r="I25" s="213" t="str">
        <f>IF(SUMIF(Calculations!$AG$6:$AG$30,$B25,Calculations!$AV$6:$AV$30)=0,"",SUMIF(Calculations!$AG$6:$AG$30,$B25,Calculations!$AV$6:$AV$30))</f>
        <v/>
      </c>
      <c r="J25" s="213" t="str">
        <f>IF(SUMIF(Calculations!$AG$6:$AG$30,$B25,Calculations!$AW$6:$AW$30)=0,"",SUMIF(Calculations!$AG$6:$AG$30,$B25,Calculations!$AW$6:$AW$30))</f>
        <v/>
      </c>
      <c r="K25" s="1029" t="str">
        <f>IF(SUMIF(Calculations!$AG$6:$AG$30,$B25,Calculations!$BA$6:$BA$30)=0,"",SUMIF(Calculations!$AG$6:$AG$30,$B25,Calculations!$BA$6:$BA$30))</f>
        <v/>
      </c>
    </row>
    <row r="26" spans="2:11" hidden="1" x14ac:dyDescent="0.3">
      <c r="B26" s="1016" t="s">
        <v>249</v>
      </c>
      <c r="C26" s="211" t="str">
        <f>IF(SUMIF(Calculations!$AG$6:$AG$30,$B26,Calculations!$S$6:$S$30)=0,"",SUMIF(Calculations!$AG$6:$AG$30,$B26,Calculations!$S$6:$S$30))</f>
        <v/>
      </c>
      <c r="D26" s="212" t="str">
        <f t="shared" si="0"/>
        <v/>
      </c>
      <c r="E26" s="213" t="str">
        <f t="shared" si="1"/>
        <v/>
      </c>
      <c r="F26" s="1017" t="str">
        <f t="shared" si="2"/>
        <v/>
      </c>
      <c r="G26" s="1025"/>
      <c r="H26" s="1028" t="str">
        <f>IF(SUMIF(Calculations!$AG$6:$AG$30,$B26,Calculations!$AT$6:$AT$30)=0,"",SUMIF(Calculations!$AG$6:$AG$30,$B26,Calculations!$AT$6:$AT$30))</f>
        <v/>
      </c>
      <c r="I26" s="213" t="str">
        <f>IF(SUMIF(Calculations!$AG$6:$AG$30,$B26,Calculations!$AV$6:$AV$30)=0,"",SUMIF(Calculations!$AG$6:$AG$30,$B26,Calculations!$AV$6:$AV$30))</f>
        <v/>
      </c>
      <c r="J26" s="213" t="str">
        <f>IF(SUMIF(Calculations!$AG$6:$AG$30,$B26,Calculations!$AW$6:$AW$30)=0,"",SUMIF(Calculations!$AG$6:$AG$30,$B26,Calculations!$AW$6:$AW$30))</f>
        <v/>
      </c>
      <c r="K26" s="1029" t="str">
        <f>IF(SUMIF(Calculations!$AG$6:$AG$30,$B26,Calculations!$BA$6:$BA$30)=0,"",SUMIF(Calculations!$AG$6:$AG$30,$B26,Calculations!$BA$6:$BA$30))</f>
        <v/>
      </c>
    </row>
    <row r="27" spans="2:11" hidden="1" x14ac:dyDescent="0.3">
      <c r="B27" s="1016" t="s">
        <v>228</v>
      </c>
      <c r="C27" s="211" t="str">
        <f>IF(SUMIF(Calculations!$AG$6:$AG$30,$B27,Calculations!$S$6:$S$30)=0,"",SUMIF(Calculations!$AG$6:$AG$30,$B27,Calculations!$S$6:$S$30))</f>
        <v/>
      </c>
      <c r="D27" s="212" t="str">
        <f t="shared" si="0"/>
        <v/>
      </c>
      <c r="E27" s="213" t="str">
        <f t="shared" si="1"/>
        <v/>
      </c>
      <c r="F27" s="1017" t="str">
        <f t="shared" si="2"/>
        <v/>
      </c>
      <c r="G27" s="1025"/>
      <c r="H27" s="1028" t="str">
        <f>IF(SUMIF(Calculations!$AG$6:$AG$30,$B27,Calculations!$AT$6:$AT$30)=0,"",SUMIF(Calculations!$AG$6:$AG$30,$B27,Calculations!$AT$6:$AT$30))</f>
        <v/>
      </c>
      <c r="I27" s="213" t="str">
        <f>IF(SUMIF(Calculations!$AG$6:$AG$30,$B27,Calculations!$AV$6:$AV$30)=0,"",SUMIF(Calculations!$AG$6:$AG$30,$B27,Calculations!$AV$6:$AV$30))</f>
        <v/>
      </c>
      <c r="J27" s="213" t="str">
        <f>IF(SUMIF(Calculations!$AG$6:$AG$30,$B27,Calculations!$AW$6:$AW$30)=0,"",SUMIF(Calculations!$AG$6:$AG$30,$B27,Calculations!$AW$6:$AW$30))</f>
        <v/>
      </c>
      <c r="K27" s="1029" t="str">
        <f>IF(SUMIF(Calculations!$AG$6:$AG$30,$B27,Calculations!$BA$6:$BA$30)=0,"",SUMIF(Calculations!$AG$6:$AG$30,$B27,Calculations!$BA$6:$BA$30))</f>
        <v/>
      </c>
    </row>
    <row r="28" spans="2:11" x14ac:dyDescent="0.3">
      <c r="B28" s="1016" t="s">
        <v>238</v>
      </c>
      <c r="C28" s="211" t="str">
        <f>IF(SUMIF(Calculations!$AG$6:$AG$30,$B28,Calculations!$S$6:$S$30)=0,"",SUMIF(Calculations!$AG$6:$AG$30,$B28,Calculations!$S$6:$S$30))</f>
        <v/>
      </c>
      <c r="D28" s="212" t="str">
        <f t="shared" si="0"/>
        <v/>
      </c>
      <c r="E28" s="213" t="str">
        <f t="shared" si="1"/>
        <v/>
      </c>
      <c r="F28" s="1017" t="str">
        <f t="shared" si="2"/>
        <v/>
      </c>
      <c r="G28" s="1025"/>
      <c r="H28" s="1028" t="str">
        <f>IF(SUMIF(Calculations!$AG$6:$AG$30,$B28,Calculations!$AT$6:$AT$30)=0,"",SUMIF(Calculations!$AG$6:$AG$30,$B28,Calculations!$AT$6:$AT$30))</f>
        <v/>
      </c>
      <c r="I28" s="213" t="str">
        <f>IF(SUMIF(Calculations!$AG$6:$AG$30,$B28,Calculations!$AV$6:$AV$30)=0,"",SUMIF(Calculations!$AG$6:$AG$30,$B28,Calculations!$AV$6:$AV$30))</f>
        <v/>
      </c>
      <c r="J28" s="213" t="str">
        <f>IF(SUMIF(Calculations!$AG$6:$AG$30,$B28,Calculations!$AW$6:$AW$30)=0,"",SUMIF(Calculations!$AG$6:$AG$30,$B28,Calculations!$AW$6:$AW$30))</f>
        <v/>
      </c>
      <c r="K28" s="1029" t="str">
        <f>IF(SUMIF(Calculations!$AG$6:$AG$30,$B28,Calculations!$BA$6:$BA$30)=0,"",SUMIF(Calculations!$AG$6:$AG$30,$B28,Calculations!$BA$6:$BA$30))</f>
        <v/>
      </c>
    </row>
    <row r="29" spans="2:11" hidden="1" x14ac:dyDescent="0.3">
      <c r="B29" s="1016" t="s">
        <v>250</v>
      </c>
      <c r="C29" s="211" t="str">
        <f>IF(SUMIF(Calculations!$AG$6:$AG$30,$B29,Calculations!$S$6:$S$30)=0,"",SUMIF(Calculations!$AG$6:$AG$30,$B29,Calculations!$S$6:$S$30))</f>
        <v/>
      </c>
      <c r="D29" s="212" t="str">
        <f t="shared" si="0"/>
        <v/>
      </c>
      <c r="E29" s="213" t="str">
        <f t="shared" si="1"/>
        <v/>
      </c>
      <c r="F29" s="1017" t="str">
        <f t="shared" si="2"/>
        <v/>
      </c>
      <c r="G29" s="1025"/>
      <c r="H29" s="1028" t="str">
        <f>IF(SUMIF(Calculations!$AG$6:$AG$30,$B29,Calculations!$AT$6:$AT$30)=0,"",SUMIF(Calculations!$AG$6:$AG$30,$B29,Calculations!$AT$6:$AT$30))</f>
        <v/>
      </c>
      <c r="I29" s="213" t="str">
        <f>IF(SUMIF(Calculations!$AG$6:$AG$30,$B29,Calculations!$AV$6:$AV$30)=0,"",SUMIF(Calculations!$AG$6:$AG$30,$B29,Calculations!$AV$6:$AV$30))</f>
        <v/>
      </c>
      <c r="J29" s="213" t="str">
        <f>IF(SUMIF(Calculations!$AG$6:$AG$30,$B29,Calculations!$AW$6:$AW$30)=0,"",SUMIF(Calculations!$AG$6:$AG$30,$B29,Calculations!$AW$6:$AW$30))</f>
        <v/>
      </c>
      <c r="K29" s="1029" t="str">
        <f>IF(SUMIF(Calculations!$AG$6:$AG$30,$B29,Calculations!$BA$6:$BA$30)=0,"",SUMIF(Calculations!$AG$6:$AG$30,$B29,Calculations!$BA$6:$BA$30))</f>
        <v/>
      </c>
    </row>
    <row r="30" spans="2:11" hidden="1" x14ac:dyDescent="0.3">
      <c r="B30" s="1016" t="s">
        <v>229</v>
      </c>
      <c r="C30" s="211" t="str">
        <f>IF(SUMIF(Calculations!$AG$6:$AG$30,$B30,Calculations!$S$6:$S$30)=0,"",SUMIF(Calculations!$AG$6:$AG$30,$B30,Calculations!$S$6:$S$30))</f>
        <v/>
      </c>
      <c r="D30" s="212" t="str">
        <f t="shared" si="0"/>
        <v/>
      </c>
      <c r="E30" s="213" t="str">
        <f t="shared" si="1"/>
        <v/>
      </c>
      <c r="F30" s="1017" t="str">
        <f t="shared" si="2"/>
        <v/>
      </c>
      <c r="G30" s="1025"/>
      <c r="H30" s="1028" t="str">
        <f>IF(SUMIF(Calculations!$AG$6:$AG$30,$B30,Calculations!$AT$6:$AT$30)=0,"",SUMIF(Calculations!$AG$6:$AG$30,$B30,Calculations!$AT$6:$AT$30))</f>
        <v/>
      </c>
      <c r="I30" s="213" t="str">
        <f>IF(SUMIF(Calculations!$AG$6:$AG$30,$B30,Calculations!$AV$6:$AV$30)=0,"",SUMIF(Calculations!$AG$6:$AG$30,$B30,Calculations!$AV$6:$AV$30))</f>
        <v/>
      </c>
      <c r="J30" s="213" t="str">
        <f>IF(SUMIF(Calculations!$AG$6:$AG$30,$B30,Calculations!$AW$6:$AW$30)=0,"",SUMIF(Calculations!$AG$6:$AG$30,$B30,Calculations!$AW$6:$AW$30))</f>
        <v/>
      </c>
      <c r="K30" s="1029" t="str">
        <f>IF(SUMIF(Calculations!$AG$6:$AG$30,$B30,Calculations!$BA$6:$BA$30)=0,"",SUMIF(Calculations!$AG$6:$AG$30,$B30,Calculations!$BA$6:$BA$30))</f>
        <v/>
      </c>
    </row>
    <row r="31" spans="2:11" x14ac:dyDescent="0.3">
      <c r="B31" s="1016" t="s">
        <v>239</v>
      </c>
      <c r="C31" s="211" t="str">
        <f>IF(SUMIF(Calculations!$AG$6:$AG$30,$B31,Calculations!$S$6:$S$30)=0,"",SUMIF(Calculations!$AG$6:$AG$30,$B31,Calculations!$S$6:$S$30))</f>
        <v/>
      </c>
      <c r="D31" s="212" t="str">
        <f t="shared" si="0"/>
        <v/>
      </c>
      <c r="E31" s="213" t="str">
        <f t="shared" si="1"/>
        <v/>
      </c>
      <c r="F31" s="1017" t="str">
        <f t="shared" si="2"/>
        <v/>
      </c>
      <c r="G31" s="1025"/>
      <c r="H31" s="1028" t="str">
        <f>IF(SUMIF(Calculations!$AG$6:$AG$30,$B31,Calculations!$AT$6:$AT$30)=0,"",SUMIF(Calculations!$AG$6:$AG$30,$B31,Calculations!$AT$6:$AT$30))</f>
        <v/>
      </c>
      <c r="I31" s="213" t="str">
        <f>IF(SUMIF(Calculations!$AG$6:$AG$30,$B31,Calculations!$AV$6:$AV$30)=0,"",SUMIF(Calculations!$AG$6:$AG$30,$B31,Calculations!$AV$6:$AV$30))</f>
        <v/>
      </c>
      <c r="J31" s="213" t="str">
        <f>IF(SUMIF(Calculations!$AG$6:$AG$30,$B31,Calculations!$AW$6:$AW$30)=0,"",SUMIF(Calculations!$AG$6:$AG$30,$B31,Calculations!$AW$6:$AW$30))</f>
        <v/>
      </c>
      <c r="K31" s="1029" t="str">
        <f>IF(SUMIF(Calculations!$AG$6:$AG$30,$B31,Calculations!$BA$6:$BA$30)=0,"",SUMIF(Calculations!$AG$6:$AG$30,$B31,Calculations!$BA$6:$BA$30))</f>
        <v/>
      </c>
    </row>
    <row r="32" spans="2:11" hidden="1" x14ac:dyDescent="0.3">
      <c r="B32" s="1016" t="s">
        <v>251</v>
      </c>
      <c r="C32" s="211" t="str">
        <f>IF(SUMIF(Calculations!$AG$6:$AG$30,$B32,Calculations!$S$6:$S$30)=0,"",SUMIF(Calculations!$AG$6:$AG$30,$B32,Calculations!$S$6:$S$30))</f>
        <v/>
      </c>
      <c r="D32" s="212" t="str">
        <f t="shared" si="0"/>
        <v/>
      </c>
      <c r="E32" s="213" t="str">
        <f t="shared" si="1"/>
        <v/>
      </c>
      <c r="F32" s="1017" t="str">
        <f t="shared" si="2"/>
        <v/>
      </c>
      <c r="G32" s="1025"/>
      <c r="H32" s="1028" t="str">
        <f>IF(SUMIF(Calculations!$AG$6:$AG$30,$B32,Calculations!$AT$6:$AT$30)=0,"",SUMIF(Calculations!$AG$6:$AG$30,$B32,Calculations!$AT$6:$AT$30))</f>
        <v/>
      </c>
      <c r="I32" s="213" t="str">
        <f>IF(SUMIF(Calculations!$AG$6:$AG$30,$B32,Calculations!$AV$6:$AV$30)=0,"",SUMIF(Calculations!$AG$6:$AG$30,$B32,Calculations!$AV$6:$AV$30))</f>
        <v/>
      </c>
      <c r="J32" s="213" t="str">
        <f>IF(SUMIF(Calculations!$AG$6:$AG$30,$B32,Calculations!$AW$6:$AW$30)=0,"",SUMIF(Calculations!$AG$6:$AG$30,$B32,Calculations!$AW$6:$AW$30))</f>
        <v/>
      </c>
      <c r="K32" s="1029" t="str">
        <f>IF(SUMIF(Calculations!$AG$6:$AG$30,$B32,Calculations!$BA$6:$BA$30)=0,"",SUMIF(Calculations!$AG$6:$AG$30,$B32,Calculations!$BA$6:$BA$30))</f>
        <v/>
      </c>
    </row>
    <row r="33" spans="2:11" hidden="1" x14ac:dyDescent="0.3">
      <c r="B33" s="1016" t="s">
        <v>230</v>
      </c>
      <c r="C33" s="211" t="str">
        <f>IF(SUMIF(Calculations!$AG$6:$AG$30,$B33,Calculations!$S$6:$S$30)=0,"",SUMIF(Calculations!$AG$6:$AG$30,$B33,Calculations!$S$6:$S$30))</f>
        <v/>
      </c>
      <c r="D33" s="212" t="str">
        <f t="shared" si="0"/>
        <v/>
      </c>
      <c r="E33" s="213" t="str">
        <f t="shared" si="1"/>
        <v/>
      </c>
      <c r="F33" s="1017" t="str">
        <f t="shared" si="2"/>
        <v/>
      </c>
      <c r="G33" s="1025"/>
      <c r="H33" s="1028" t="str">
        <f>IF(SUMIF(Calculations!$AG$6:$AG$30,$B33,Calculations!$AT$6:$AT$30)=0,"",SUMIF(Calculations!$AG$6:$AG$30,$B33,Calculations!$AT$6:$AT$30))</f>
        <v/>
      </c>
      <c r="I33" s="213" t="str">
        <f>IF(SUMIF(Calculations!$AG$6:$AG$30,$B33,Calculations!$AV$6:$AV$30)=0,"",SUMIF(Calculations!$AG$6:$AG$30,$B33,Calculations!$AV$6:$AV$30))</f>
        <v/>
      </c>
      <c r="J33" s="213" t="str">
        <f>IF(SUMIF(Calculations!$AG$6:$AG$30,$B33,Calculations!$AW$6:$AW$30)=0,"",SUMIF(Calculations!$AG$6:$AG$30,$B33,Calculations!$AW$6:$AW$30))</f>
        <v/>
      </c>
      <c r="K33" s="1029" t="str">
        <f>IF(SUMIF(Calculations!$AG$6:$AG$30,$B33,Calculations!$BA$6:$BA$30)=0,"",SUMIF(Calculations!$AG$6:$AG$30,$B33,Calculations!$BA$6:$BA$30))</f>
        <v/>
      </c>
    </row>
    <row r="34" spans="2:11" x14ac:dyDescent="0.3">
      <c r="B34" s="1016" t="s">
        <v>240</v>
      </c>
      <c r="C34" s="211" t="str">
        <f>IF(SUMIF(Calculations!$AG$6:$AG$30,$B34,Calculations!$S$6:$S$30)=0,"",SUMIF(Calculations!$AG$6:$AG$30,$B34,Calculations!$S$6:$S$30))</f>
        <v/>
      </c>
      <c r="D34" s="212" t="str">
        <f t="shared" si="0"/>
        <v/>
      </c>
      <c r="E34" s="213" t="str">
        <f t="shared" si="1"/>
        <v/>
      </c>
      <c r="F34" s="1017" t="str">
        <f t="shared" si="2"/>
        <v/>
      </c>
      <c r="G34" s="1025"/>
      <c r="H34" s="1028" t="str">
        <f>IF(SUMIF(Calculations!$AG$6:$AG$30,$B34,Calculations!$AT$6:$AT$30)=0,"",SUMIF(Calculations!$AG$6:$AG$30,$B34,Calculations!$AT$6:$AT$30))</f>
        <v/>
      </c>
      <c r="I34" s="213" t="str">
        <f>IF(SUMIF(Calculations!$AG$6:$AG$30,$B34,Calculations!$AV$6:$AV$30)=0,"",SUMIF(Calculations!$AG$6:$AG$30,$B34,Calculations!$AV$6:$AV$30))</f>
        <v/>
      </c>
      <c r="J34" s="213" t="str">
        <f>IF(SUMIF(Calculations!$AG$6:$AG$30,$B34,Calculations!$AW$6:$AW$30)=0,"",SUMIF(Calculations!$AG$6:$AG$30,$B34,Calculations!$AW$6:$AW$30))</f>
        <v/>
      </c>
      <c r="K34" s="1029" t="str">
        <f>IF(SUMIF(Calculations!$AG$6:$AG$30,$B34,Calculations!$BA$6:$BA$30)=0,"",SUMIF(Calculations!$AG$6:$AG$30,$B34,Calculations!$BA$6:$BA$30))</f>
        <v/>
      </c>
    </row>
    <row r="35" spans="2:11" hidden="1" x14ac:dyDescent="0.3">
      <c r="B35" s="1016" t="s">
        <v>252</v>
      </c>
      <c r="C35" s="211" t="str">
        <f>IF(SUMIF(Calculations!$AG$6:$AG$30,$B35,Calculations!$S$6:$S$30)=0,"",SUMIF(Calculations!$AG$6:$AG$30,$B35,Calculations!$S$6:$S$30))</f>
        <v/>
      </c>
      <c r="D35" s="212" t="str">
        <f t="shared" si="0"/>
        <v/>
      </c>
      <c r="E35" s="213" t="str">
        <f t="shared" si="1"/>
        <v/>
      </c>
      <c r="F35" s="1017" t="str">
        <f t="shared" si="2"/>
        <v/>
      </c>
      <c r="G35" s="1025"/>
      <c r="H35" s="1028" t="str">
        <f>IF(SUMIF(Calculations!$AG$6:$AG$30,$B35,Calculations!$AT$6:$AT$30)=0,"",SUMIF(Calculations!$AG$6:$AG$30,$B35,Calculations!$AT$6:$AT$30))</f>
        <v/>
      </c>
      <c r="I35" s="213" t="str">
        <f>IF(SUMIF(Calculations!$AG$6:$AG$30,$B35,Calculations!$AV$6:$AV$30)=0,"",SUMIF(Calculations!$AG$6:$AG$30,$B35,Calculations!$AV$6:$AV$30))</f>
        <v/>
      </c>
      <c r="J35" s="213" t="str">
        <f>IF(SUMIF(Calculations!$AG$6:$AG$30,$B35,Calculations!$AW$6:$AW$30)=0,"",SUMIF(Calculations!$AG$6:$AG$30,$B35,Calculations!$AW$6:$AW$30))</f>
        <v/>
      </c>
      <c r="K35" s="1029" t="str">
        <f>IF(SUMIF(Calculations!$AG$6:$AG$30,$B35,Calculations!$BA$6:$BA$30)=0,"",SUMIF(Calculations!$AG$6:$AG$30,$B35,Calculations!$BA$6:$BA$30))</f>
        <v/>
      </c>
    </row>
    <row r="36" spans="2:11" hidden="1" x14ac:dyDescent="0.3">
      <c r="B36" s="1016" t="s">
        <v>231</v>
      </c>
      <c r="C36" s="211" t="str">
        <f>IF(SUMIF(Calculations!$AG$6:$AG$30,$B36,Calculations!$S$6:$S$30)=0,"",SUMIF(Calculations!$AG$6:$AG$30,$B36,Calculations!$S$6:$S$30))</f>
        <v/>
      </c>
      <c r="D36" s="212" t="str">
        <f t="shared" si="0"/>
        <v/>
      </c>
      <c r="E36" s="213" t="str">
        <f t="shared" si="1"/>
        <v/>
      </c>
      <c r="F36" s="1017" t="str">
        <f t="shared" si="2"/>
        <v/>
      </c>
      <c r="G36" s="1025"/>
      <c r="H36" s="1028" t="str">
        <f>IF(SUMIF(Calculations!$AG$6:$AG$30,$B36,Calculations!$AT$6:$AT$30)=0,"",SUMIF(Calculations!$AG$6:$AG$30,$B36,Calculations!$AT$6:$AT$30))</f>
        <v/>
      </c>
      <c r="I36" s="213" t="str">
        <f>IF(SUMIF(Calculations!$AG$6:$AG$30,$B36,Calculations!$AV$6:$AV$30)=0,"",SUMIF(Calculations!$AG$6:$AG$30,$B36,Calculations!$AV$6:$AV$30))</f>
        <v/>
      </c>
      <c r="J36" s="213" t="str">
        <f>IF(SUMIF(Calculations!$AG$6:$AG$30,$B36,Calculations!$AW$6:$AW$30)=0,"",SUMIF(Calculations!$AG$6:$AG$30,$B36,Calculations!$AW$6:$AW$30))</f>
        <v/>
      </c>
      <c r="K36" s="1029" t="str">
        <f>IF(SUMIF(Calculations!$AG$6:$AG$30,$B36,Calculations!$BA$6:$BA$30)=0,"",SUMIF(Calculations!$AG$6:$AG$30,$B36,Calculations!$BA$6:$BA$30))</f>
        <v/>
      </c>
    </row>
    <row r="37" spans="2:11" hidden="1" x14ac:dyDescent="0.3">
      <c r="B37" s="1016" t="s">
        <v>241</v>
      </c>
      <c r="C37" s="211" t="str">
        <f>IF(SUMIF(Calculations!$AG$6:$AG$30,$B37,Calculations!$S$6:$S$30)=0,"",SUMIF(Calculations!$AG$6:$AG$30,$B37,Calculations!$S$6:$S$30))</f>
        <v/>
      </c>
      <c r="D37" s="212" t="str">
        <f t="shared" si="0"/>
        <v/>
      </c>
      <c r="E37" s="213" t="str">
        <f t="shared" si="1"/>
        <v/>
      </c>
      <c r="F37" s="1017" t="str">
        <f t="shared" si="2"/>
        <v/>
      </c>
      <c r="G37" s="1025"/>
      <c r="H37" s="1028" t="str">
        <f>IF(SUMIF(Calculations!$AG$6:$AG$30,$B37,Calculations!$AT$6:$AT$30)=0,"",SUMIF(Calculations!$AG$6:$AG$30,$B37,Calculations!$AT$6:$AT$30))</f>
        <v/>
      </c>
      <c r="I37" s="213" t="str">
        <f>IF(SUMIF(Calculations!$AG$6:$AG$30,$B37,Calculations!$AV$6:$AV$30)=0,"",SUMIF(Calculations!$AG$6:$AG$30,$B37,Calculations!$AV$6:$AV$30))</f>
        <v/>
      </c>
      <c r="J37" s="213" t="str">
        <f>IF(SUMIF(Calculations!$AG$6:$AG$30,$B37,Calculations!$AW$6:$AW$30)=0,"",SUMIF(Calculations!$AG$6:$AG$30,$B37,Calculations!$AW$6:$AW$30))</f>
        <v/>
      </c>
      <c r="K37" s="1029" t="str">
        <f>IF(SUMIF(Calculations!$AG$6:$AG$30,$B37,Calculations!$BA$6:$BA$30)=0,"",SUMIF(Calculations!$AG$6:$AG$30,$B37,Calculations!$BA$6:$BA$30))</f>
        <v/>
      </c>
    </row>
    <row r="38" spans="2:11" hidden="1" x14ac:dyDescent="0.3">
      <c r="B38" s="1016" t="s">
        <v>253</v>
      </c>
      <c r="C38" s="211" t="str">
        <f>IF(SUMIF(Calculations!$AG$6:$AG$30,$B38,Calculations!$S$6:$S$30)=0,"",SUMIF(Calculations!$AG$6:$AG$30,$B38,Calculations!$S$6:$S$30))</f>
        <v/>
      </c>
      <c r="D38" s="212" t="str">
        <f t="shared" si="0"/>
        <v/>
      </c>
      <c r="E38" s="213" t="str">
        <f t="shared" si="1"/>
        <v/>
      </c>
      <c r="F38" s="1017" t="str">
        <f t="shared" si="2"/>
        <v/>
      </c>
      <c r="G38" s="1025"/>
      <c r="H38" s="1028" t="str">
        <f>IF(SUMIF(Calculations!$AG$6:$AG$30,$B38,Calculations!$AT$6:$AT$30)=0,"",SUMIF(Calculations!$AG$6:$AG$30,$B38,Calculations!$AT$6:$AT$30))</f>
        <v/>
      </c>
      <c r="I38" s="213" t="str">
        <f>IF(SUMIF(Calculations!$AG$6:$AG$30,$B38,Calculations!$AV$6:$AV$30)=0,"",SUMIF(Calculations!$AG$6:$AG$30,$B38,Calculations!$AV$6:$AV$30))</f>
        <v/>
      </c>
      <c r="J38" s="213" t="str">
        <f>IF(SUMIF(Calculations!$AG$6:$AG$30,$B38,Calculations!$AW$6:$AW$30)=0,"",SUMIF(Calculations!$AG$6:$AG$30,$B38,Calculations!$AW$6:$AW$30))</f>
        <v/>
      </c>
      <c r="K38" s="1029" t="str">
        <f>IF(SUMIF(Calculations!$AG$6:$AG$30,$B38,Calculations!$BA$6:$BA$30)=0,"",SUMIF(Calculations!$AG$6:$AG$30,$B38,Calculations!$BA$6:$BA$30))</f>
        <v/>
      </c>
    </row>
    <row r="39" spans="2:11" hidden="1" x14ac:dyDescent="0.3">
      <c r="B39" s="1016" t="s">
        <v>232</v>
      </c>
      <c r="C39" s="211" t="str">
        <f>IF(SUMIF(Calculations!$AG$6:$AG$30,$B39,Calculations!$S$6:$S$30)=0,"",SUMIF(Calculations!$AG$6:$AG$30,$B39,Calculations!$S$6:$S$30))</f>
        <v/>
      </c>
      <c r="D39" s="212" t="str">
        <f t="shared" si="0"/>
        <v/>
      </c>
      <c r="E39" s="213" t="str">
        <f t="shared" si="1"/>
        <v/>
      </c>
      <c r="F39" s="1017" t="str">
        <f t="shared" si="2"/>
        <v/>
      </c>
      <c r="G39" s="1025"/>
      <c r="H39" s="1028" t="str">
        <f>IF(SUMIF(Calculations!$AG$6:$AG$30,$B39,Calculations!$AT$6:$AT$30)=0,"",SUMIF(Calculations!$AG$6:$AG$30,$B39,Calculations!$AT$6:$AT$30))</f>
        <v/>
      </c>
      <c r="I39" s="213" t="str">
        <f>IF(SUMIF(Calculations!$AG$6:$AG$30,$B39,Calculations!$AV$6:$AV$30)=0,"",SUMIF(Calculations!$AG$6:$AG$30,$B39,Calculations!$AV$6:$AV$30))</f>
        <v/>
      </c>
      <c r="J39" s="213" t="str">
        <f>IF(SUMIF(Calculations!$AG$6:$AG$30,$B39,Calculations!$AW$6:$AW$30)=0,"",SUMIF(Calculations!$AG$6:$AG$30,$B39,Calculations!$AW$6:$AW$30))</f>
        <v/>
      </c>
      <c r="K39" s="1029" t="str">
        <f>IF(SUMIF(Calculations!$AG$6:$AG$30,$B39,Calculations!$BA$6:$BA$30)=0,"",SUMIF(Calculations!$AG$6:$AG$30,$B39,Calculations!$BA$6:$BA$30))</f>
        <v/>
      </c>
    </row>
    <row r="40" spans="2:11" hidden="1" x14ac:dyDescent="0.3">
      <c r="B40" s="1016" t="s">
        <v>242</v>
      </c>
      <c r="C40" s="211" t="str">
        <f>IF(SUMIF(Calculations!$AG$6:$AG$30,$B40,Calculations!$S$6:$S$30)=0,"",SUMIF(Calculations!$AG$6:$AG$30,$B40,Calculations!$S$6:$S$30))</f>
        <v/>
      </c>
      <c r="D40" s="212" t="str">
        <f t="shared" si="0"/>
        <v/>
      </c>
      <c r="E40" s="213" t="str">
        <f t="shared" si="1"/>
        <v/>
      </c>
      <c r="F40" s="1017" t="str">
        <f t="shared" si="2"/>
        <v/>
      </c>
      <c r="G40" s="1025"/>
      <c r="H40" s="1028" t="str">
        <f>IF(SUMIF(Calculations!$AG$6:$AG$30,$B40,Calculations!$AT$6:$AT$30)=0,"",SUMIF(Calculations!$AG$6:$AG$30,$B40,Calculations!$AT$6:$AT$30))</f>
        <v/>
      </c>
      <c r="I40" s="213" t="str">
        <f>IF(SUMIF(Calculations!$AG$6:$AG$30,$B40,Calculations!$AV$6:$AV$30)=0,"",SUMIF(Calculations!$AG$6:$AG$30,$B40,Calculations!$AV$6:$AV$30))</f>
        <v/>
      </c>
      <c r="J40" s="213" t="str">
        <f>IF(SUMIF(Calculations!$AG$6:$AG$30,$B40,Calculations!$AW$6:$AW$30)=0,"",SUMIF(Calculations!$AG$6:$AG$30,$B40,Calculations!$AW$6:$AW$30))</f>
        <v/>
      </c>
      <c r="K40" s="1029" t="str">
        <f>IF(SUMIF(Calculations!$AG$6:$AG$30,$B40,Calculations!$BA$6:$BA$30)=0,"",SUMIF(Calculations!$AG$6:$AG$30,$B40,Calculations!$BA$6:$BA$30))</f>
        <v/>
      </c>
    </row>
    <row r="41" spans="2:11" hidden="1" x14ac:dyDescent="0.3">
      <c r="B41" s="1016" t="s">
        <v>254</v>
      </c>
      <c r="C41" s="211" t="str">
        <f>IF(SUMIF(Calculations!$AG$6:$AG$30,$B41,Calculations!$S$6:$S$30)=0,"",SUMIF(Calculations!$AG$6:$AG$30,$B41,Calculations!$S$6:$S$30))</f>
        <v/>
      </c>
      <c r="D41" s="212" t="str">
        <f t="shared" si="0"/>
        <v/>
      </c>
      <c r="E41" s="213" t="str">
        <f t="shared" si="1"/>
        <v/>
      </c>
      <c r="F41" s="1017" t="str">
        <f t="shared" si="2"/>
        <v/>
      </c>
      <c r="G41" s="1025"/>
      <c r="H41" s="1028" t="str">
        <f>IF(SUMIF(Calculations!$AG$6:$AG$30,$B41,Calculations!$AT$6:$AT$30)=0,"",SUMIF(Calculations!$AG$6:$AG$30,$B41,Calculations!$AT$6:$AT$30))</f>
        <v/>
      </c>
      <c r="I41" s="213" t="str">
        <f>IF(SUMIF(Calculations!$AG$6:$AG$30,$B41,Calculations!$AV$6:$AV$30)=0,"",SUMIF(Calculations!$AG$6:$AG$30,$B41,Calculations!$AV$6:$AV$30))</f>
        <v/>
      </c>
      <c r="J41" s="213" t="str">
        <f>IF(SUMIF(Calculations!$AG$6:$AG$30,$B41,Calculations!$AW$6:$AW$30)=0,"",SUMIF(Calculations!$AG$6:$AG$30,$B41,Calculations!$AW$6:$AW$30))</f>
        <v/>
      </c>
      <c r="K41" s="1029" t="str">
        <f>IF(SUMIF(Calculations!$AG$6:$AG$30,$B41,Calculations!$BA$6:$BA$30)=0,"",SUMIF(Calculations!$AG$6:$AG$30,$B41,Calculations!$BA$6:$BA$30))</f>
        <v/>
      </c>
    </row>
    <row r="42" spans="2:11" x14ac:dyDescent="0.3">
      <c r="B42" s="1016" t="s">
        <v>243</v>
      </c>
      <c r="C42" s="211" t="str">
        <f>IF(SUMIF(Calculations!$AG$6:$AG$30,$B42,Calculations!$S$6:$S$30)=0,"",SUMIF(Calculations!$AG$6:$AG$30,$B42,Calculations!$S$6:$S$30))</f>
        <v/>
      </c>
      <c r="D42" s="212" t="str">
        <f t="shared" si="0"/>
        <v/>
      </c>
      <c r="E42" s="213" t="str">
        <f t="shared" si="1"/>
        <v/>
      </c>
      <c r="F42" s="1017" t="str">
        <f t="shared" si="2"/>
        <v/>
      </c>
      <c r="G42" s="1025"/>
      <c r="H42" s="1028" t="str">
        <f>IF(SUMIF(Calculations!$AG$6:$AG$30,$B42,Calculations!$AT$6:$AT$30)=0,"",SUMIF(Calculations!$AG$6:$AG$30,$B42,Calculations!$AT$6:$AT$30))</f>
        <v/>
      </c>
      <c r="I42" s="213" t="str">
        <f>IF(SUMIF(Calculations!$AG$6:$AG$30,$B42,Calculations!$AV$6:$AV$30)=0,"",SUMIF(Calculations!$AG$6:$AG$30,$B42,Calculations!$AV$6:$AV$30))</f>
        <v/>
      </c>
      <c r="J42" s="213" t="str">
        <f>IF(SUMIF(Calculations!$AG$6:$AG$30,$B42,Calculations!$AW$6:$AW$30)=0,"",SUMIF(Calculations!$AG$6:$AG$30,$B42,Calculations!$AW$6:$AW$30))</f>
        <v/>
      </c>
      <c r="K42" s="1029" t="str">
        <f>IF(SUMIF(Calculations!$AG$6:$AG$30,$B42,Calculations!$BA$6:$BA$30)=0,"",SUMIF(Calculations!$AG$6:$AG$30,$B42,Calculations!$BA$6:$BA$30))</f>
        <v/>
      </c>
    </row>
    <row r="43" spans="2:11" x14ac:dyDescent="0.3">
      <c r="B43" s="1016" t="s">
        <v>244</v>
      </c>
      <c r="C43" s="211" t="str">
        <f>IF(SUMIF(Calculations!$AG$6:$AG$30,$B43,Calculations!$S$6:$S$30)=0,"",SUMIF(Calculations!$AG$6:$AG$30,$B43,Calculations!$S$6:$S$30))</f>
        <v/>
      </c>
      <c r="D43" s="212" t="str">
        <f t="shared" si="0"/>
        <v/>
      </c>
      <c r="E43" s="213" t="str">
        <f t="shared" si="1"/>
        <v/>
      </c>
      <c r="F43" s="1017" t="str">
        <f t="shared" si="2"/>
        <v/>
      </c>
      <c r="G43" s="1025"/>
      <c r="H43" s="1028" t="str">
        <f>IF(SUMIF(Calculations!$AG$6:$AG$30,$B43,Calculations!$AT$6:$AT$30)=0,"",SUMIF(Calculations!$AG$6:$AG$30,$B43,Calculations!$AT$6:$AT$30))</f>
        <v/>
      </c>
      <c r="I43" s="213" t="str">
        <f>IF(SUMIF(Calculations!$AG$6:$AG$30,$B43,Calculations!$AV$6:$AV$30)=0,"",SUMIF(Calculations!$AG$6:$AG$30,$B43,Calculations!$AV$6:$AV$30))</f>
        <v/>
      </c>
      <c r="J43" s="213" t="str">
        <f>IF(SUMIF(Calculations!$AG$6:$AG$30,$B43,Calculations!$AW$6:$AW$30)=0,"",SUMIF(Calculations!$AG$6:$AG$30,$B43,Calculations!$AW$6:$AW$30))</f>
        <v/>
      </c>
      <c r="K43" s="1029" t="str">
        <f>IF(SUMIF(Calculations!$AG$6:$AG$30,$B43,Calculations!$BA$6:$BA$30)=0,"",SUMIF(Calculations!$AG$6:$AG$30,$B43,Calculations!$BA$6:$BA$30))</f>
        <v/>
      </c>
    </row>
    <row r="44" spans="2:11" x14ac:dyDescent="0.3">
      <c r="B44" s="1016" t="s">
        <v>447</v>
      </c>
      <c r="C44" s="211" t="str">
        <f>IF(SUMIF(Calculations!$AG$6:$AG$30,$B44,Calculations!$S$6:$S$30)=0,"",SUMIF(Calculations!$AG$6:$AG$30,$B44,Calculations!$S$6:$S$30))</f>
        <v/>
      </c>
      <c r="D44" s="212" t="str">
        <f>IF(H44="","",H44/C44)</f>
        <v/>
      </c>
      <c r="E44" s="213" t="str">
        <f t="shared" ref="E44:E46" si="3">IF(I44="","",I44/C44)</f>
        <v/>
      </c>
      <c r="F44" s="1017" t="str">
        <f t="shared" si="2"/>
        <v/>
      </c>
      <c r="G44" s="1025"/>
      <c r="H44" s="1028" t="str">
        <f>IF(SUMIF(Calculations!$AG$6:$AG$30,$B44,Calculations!$AT$6:$AT$30)=0,"",SUMIF(Calculations!$AG$6:$AG$30,$B44,Calculations!$AT$6:$AT$30))</f>
        <v/>
      </c>
      <c r="I44" s="213" t="str">
        <f>IF(SUMIF(Calculations!$AG$6:$AG$30,$B44,Calculations!$AV$6:$AV$30)=0,"",SUMIF(Calculations!$AG$6:$AG$30,$B44,Calculations!$AV$6:$AV$30))</f>
        <v/>
      </c>
      <c r="J44" s="213" t="str">
        <f>IF(SUMIF(Calculations!$AG$6:$AG$30,$B44,Calculations!$AW$6:$AW$30)=0,"",SUMIF(Calculations!$AG$6:$AG$30,$B44,Calculations!$AW$6:$AW$30))</f>
        <v/>
      </c>
      <c r="K44" s="1029" t="str">
        <f>IF(SUMIF(Calculations!$AG$6:$AG$30,$B44,Calculations!$BA$6:$BA$30)=0,"",SUMIF(Calculations!$AG$6:$AG$30,$B44,Calculations!$BA$6:$BA$30))</f>
        <v/>
      </c>
    </row>
    <row r="45" spans="2:11" x14ac:dyDescent="0.3">
      <c r="B45" s="1016" t="s">
        <v>450</v>
      </c>
      <c r="C45" s="211" t="str">
        <f>IF(SUMIF(Calculations!$AG$6:$AG$30,$B45,Calculations!$S$6:$S$30)=0,"",SUMIF(Calculations!$AG$6:$AG$30,$B45,Calculations!$S$6:$S$30))</f>
        <v/>
      </c>
      <c r="D45" s="212" t="str">
        <f>IF(H45="","",H45/C45)</f>
        <v/>
      </c>
      <c r="E45" s="213" t="str">
        <f t="shared" si="3"/>
        <v/>
      </c>
      <c r="F45" s="1017" t="str">
        <f t="shared" si="2"/>
        <v/>
      </c>
      <c r="G45" s="1025"/>
      <c r="H45" s="1028" t="str">
        <f>IF(SUMIF(Calculations!$AG$6:$AG$30,$B45,Calculations!$AT$6:$AT$30)=0,"",SUMIF(Calculations!$AG$6:$AG$30,$B45,Calculations!$AT$6:$AT$30))</f>
        <v/>
      </c>
      <c r="I45" s="213" t="str">
        <f>IF(SUMIF(Calculations!$AG$6:$AG$30,$B45,Calculations!$AV$6:$AV$30)=0,"",SUMIF(Calculations!$AG$6:$AG$30,$B45,Calculations!$AV$6:$AV$30))</f>
        <v/>
      </c>
      <c r="J45" s="213" t="str">
        <f>IF(SUMIF(Calculations!$AG$6:$AG$30,$B45,Calculations!$AW$6:$AW$30)=0,"",SUMIF(Calculations!$AG$6:$AG$30,$B45,Calculations!$AW$6:$AW$30))</f>
        <v/>
      </c>
      <c r="K45" s="1029" t="str">
        <f>IF(SUMIF(Calculations!$AG$6:$AG$30,$B45,Calculations!$BA$6:$BA$30)=0,"",SUMIF(Calculations!$AG$6:$AG$30,$B45,Calculations!$BA$6:$BA$30))</f>
        <v/>
      </c>
    </row>
    <row r="46" spans="2:11" x14ac:dyDescent="0.3">
      <c r="B46" s="1016" t="s">
        <v>452</v>
      </c>
      <c r="C46" s="211" t="str">
        <f>IF(SUMIF(Calculations!$AG$6:$AG$30,$B46,Calculations!$S$6:$S$30)=0,"",SUMIF(Calculations!$AG$6:$AG$30,$B46,Calculations!$S$6:$S$30))</f>
        <v/>
      </c>
      <c r="D46" s="212" t="str">
        <f>IF(H46="","",H46/C46)</f>
        <v/>
      </c>
      <c r="E46" s="213" t="str">
        <f t="shared" si="3"/>
        <v/>
      </c>
      <c r="F46" s="1017" t="str">
        <f t="shared" si="2"/>
        <v/>
      </c>
      <c r="G46" s="1025"/>
      <c r="H46" s="1028" t="str">
        <f>IF(SUMIF(Calculations!$AG$6:$AG$30,$B46,Calculations!$AT$6:$AT$30)=0,"",SUMIF(Calculations!$AG$6:$AG$30,$B46,Calculations!$AT$6:$AT$30))</f>
        <v/>
      </c>
      <c r="I46" s="213" t="str">
        <f>IF(SUMIF(Calculations!$AG$6:$AG$30,$B46,Calculations!$AV$6:$AV$30)=0,"",SUMIF(Calculations!$AG$6:$AG$30,$B46,Calculations!$AV$6:$AV$30))</f>
        <v/>
      </c>
      <c r="J46" s="213" t="str">
        <f>IF(SUMIF(Calculations!$AG$6:$AG$30,$B46,Calculations!$AW$6:$AW$30)=0,"",SUMIF(Calculations!$AG$6:$AG$30,$B46,Calculations!$AW$6:$AW$30))</f>
        <v/>
      </c>
      <c r="K46" s="1029" t="str">
        <f>IF(SUMIF(Calculations!$AG$6:$AG$30,$B46,Calculations!$BA$6:$BA$30)=0,"",SUMIF(Calculations!$AG$6:$AG$30,$B46,Calculations!$BA$6:$BA$30))</f>
        <v/>
      </c>
    </row>
    <row r="47" spans="2:11" x14ac:dyDescent="0.3">
      <c r="B47" s="1016" t="s">
        <v>457</v>
      </c>
      <c r="C47" s="211" t="str">
        <f>IF(SUMIF(Calculations!$AG$6:$AG$30,$B47,Calculations!$S$6:$S$30)=0,"",SUMIF(Calculations!$AG$6:$AG$30,$B47,Calculations!$S$6:$S$30))</f>
        <v/>
      </c>
      <c r="D47" s="212" t="str">
        <f t="shared" ref="D47:D61" si="4">IF(H47="","",H47/C47)</f>
        <v/>
      </c>
      <c r="E47" s="213" t="str">
        <f t="shared" ref="E47:E61" si="5">IF(I47="","",I47/C47)</f>
        <v/>
      </c>
      <c r="F47" s="1017" t="str">
        <f t="shared" si="2"/>
        <v/>
      </c>
      <c r="G47" s="1025"/>
      <c r="H47" s="1028" t="str">
        <f>IF(SUMIF(Calculations!$AG$6:$AG$30,$B47,Calculations!$AT$6:$AT$30)=0,"",SUMIF(Calculations!$AG$6:$AG$30,$B47,Calculations!$AT$6:$AT$30))</f>
        <v/>
      </c>
      <c r="I47" s="213" t="str">
        <f>IF(SUMIF(Calculations!$AG$6:$AG$30,$B47,Calculations!$AU$6:$AU$30)=0,"",SUMIF(Calculations!$AG$6:$AG$30,$B47,Calculations!$AU$6:$AU$30))</f>
        <v/>
      </c>
      <c r="J47" s="213" t="str">
        <f>IF(SUMIF(Calculations!$AG$6:$AG$30,$B47,Calculations!$AW$6:$AW$30)=0,"",SUMIF(Calculations!$AG$6:$AG$30,$B47,Calculations!$AW$6:$AW$30))</f>
        <v/>
      </c>
      <c r="K47" s="1029" t="str">
        <f>IF(SUMIF(Calculations!$AG$6:$AG$30,$B47,Calculations!$BA$6:$BA$30)=0,"",SUMIF(Calculations!$AG$6:$AG$30,$B47,Calculations!$BA$6:$BA$30))</f>
        <v/>
      </c>
    </row>
    <row r="48" spans="2:11" x14ac:dyDescent="0.3">
      <c r="B48" s="1016" t="s">
        <v>460</v>
      </c>
      <c r="C48" s="211" t="str">
        <f>IF(SUMIF(Calculations!$AG$6:$AG$30,$B48,Calculations!$S$6:$S$30)=0,"",SUMIF(Calculations!$AG$6:$AG$30,$B48,Calculations!$S$6:$S$30))</f>
        <v/>
      </c>
      <c r="D48" s="212" t="str">
        <f t="shared" si="4"/>
        <v/>
      </c>
      <c r="E48" s="213" t="str">
        <f t="shared" si="5"/>
        <v/>
      </c>
      <c r="F48" s="1017" t="str">
        <f t="shared" si="2"/>
        <v/>
      </c>
      <c r="G48" s="1025"/>
      <c r="H48" s="1028" t="str">
        <f>IF(SUMIF(Calculations!$AG$6:$AG$30,$B48,Calculations!$AT$6:$AT$30)=0,"",SUMIF(Calculations!$AG$6:$AG$30,$B48,Calculations!$AT$6:$AT$30))</f>
        <v/>
      </c>
      <c r="I48" s="213" t="str">
        <f>IF(SUMIF(Calculations!$AG$6:$AG$30,$B48,Calculations!$AU$6:$AU$30)=0,"",SUMIF(Calculations!$AG$6:$AG$30,$B48,Calculations!$AU$6:$AU$30))</f>
        <v/>
      </c>
      <c r="J48" s="213" t="str">
        <f>IF(SUMIF(Calculations!$AG$6:$AG$30,$B48,Calculations!$AW$6:$AW$30)=0,"",SUMIF(Calculations!$AG$6:$AG$30,$B48,Calculations!$AW$6:$AW$30))</f>
        <v/>
      </c>
      <c r="K48" s="1029" t="str">
        <f>IF(SUMIF(Calculations!$AG$6:$AG$30,$B48,Calculations!$BA$6:$BA$30)=0,"",SUMIF(Calculations!$AG$6:$AG$30,$B48,Calculations!$BA$6:$BA$30))</f>
        <v/>
      </c>
    </row>
    <row r="49" spans="2:14" ht="17.25" thickBot="1" x14ac:dyDescent="0.35">
      <c r="B49" s="1021" t="s">
        <v>463</v>
      </c>
      <c r="C49" s="1022" t="str">
        <f>IF(SUMIF(Calculations!$AG$6:$AG$30,$B49,Calculations!$S$6:$S$30)=0,"",SUMIF(Calculations!$AG$6:$AG$30,$B49,Calculations!$S$6:$S$30))</f>
        <v/>
      </c>
      <c r="D49" s="1023" t="str">
        <f t="shared" si="4"/>
        <v/>
      </c>
      <c r="E49" s="1033" t="str">
        <f t="shared" si="5"/>
        <v/>
      </c>
      <c r="F49" s="1039" t="str">
        <f t="shared" si="2"/>
        <v/>
      </c>
      <c r="G49" s="1025"/>
      <c r="H49" s="1032" t="str">
        <f>IF(SUMIF(Calculations!$AG$6:$AG$30,$B49,Calculations!$AT$6:$AT$30)=0,"",SUMIF(Calculations!$AG$6:$AG$30,$B49,Calculations!$AT$6:$AT$30))</f>
        <v/>
      </c>
      <c r="I49" s="1033" t="str">
        <f>IF(SUMIF(Calculations!$AG$6:$AG$30,$B49,Calculations!$AU$6:$AU$30)=0,"",SUMIF(Calculations!$AG$6:$AG$30,$B49,Calculations!$AU$6:$AU$30))</f>
        <v/>
      </c>
      <c r="J49" s="1033" t="str">
        <f>IF(SUMIF(Calculations!$AG$6:$AG$30,$B49,Calculations!$AW$6:$AW$30)=0,"",SUMIF(Calculations!$AG$6:$AG$30,$B49,Calculations!$AW$6:$AW$30))</f>
        <v/>
      </c>
      <c r="K49" s="1034" t="str">
        <f>IF(SUMIF(Calculations!$AG$6:$AG$30,$B49,Calculations!$BA$6:$BA$30)=0,"",SUMIF(Calculations!$AG$6:$AG$30,$B49,Calculations!$BA$6:$BA$30))</f>
        <v/>
      </c>
    </row>
    <row r="50" spans="2:14" hidden="1" x14ac:dyDescent="0.3">
      <c r="B50" s="1035" t="s">
        <v>881</v>
      </c>
      <c r="C50" s="1004" t="str">
        <f>IF(COUNTIF(Calculations!$AE$37:$AE$61,$B50)=0,"",COUNTIF(Calculations!$AE$37:$AE$61,$B50))</f>
        <v/>
      </c>
      <c r="D50" s="1005" t="str">
        <f t="shared" ref="D50" si="6">IF(H50="","",H50/C50)</f>
        <v/>
      </c>
      <c r="E50" s="1006" t="str">
        <f t="shared" ref="E50" si="7">IF(I50="","",I50/C50)</f>
        <v/>
      </c>
      <c r="F50" s="1036" t="str">
        <f t="shared" si="2"/>
        <v/>
      </c>
      <c r="G50" s="1025"/>
      <c r="H50" s="1037" t="str">
        <f>IF(C50="","",IF(ISERROR(SUMIF(#REF!,$B50,#REF!)),"",SUMIF(#REF!,$B50,#REF!)))</f>
        <v/>
      </c>
      <c r="I50" s="1006" t="str">
        <f>IF(C50="","",IF(ISERROR(SUMIF(#REF!,$B50,#REF!)),"",SUMIF(#REF!,$B50,#REF!)))</f>
        <v/>
      </c>
      <c r="J50" s="1006" t="str">
        <f>IF(C50="","",IF(ISERROR(SUMIF(#REF!,$B50,#REF!)),"",SUMIF(#REF!,$B50,#REF!)))</f>
        <v/>
      </c>
      <c r="K50" s="1038" t="str">
        <f>IF($C50="","",IF(SUMIF(#REF!,$B50,#REF!)=0,"",SUMIF(#REF!,$B50,#REF!)))</f>
        <v/>
      </c>
    </row>
    <row r="51" spans="2:14" x14ac:dyDescent="0.3">
      <c r="B51" s="1016" t="s">
        <v>871</v>
      </c>
      <c r="C51" s="211" t="str">
        <f>IF(COUNTIF(Calculations!$AE$37:$AE$61,$B51)=0,"",COUNTIF(Calculations!$AE$37:$AE$61,$B51))</f>
        <v/>
      </c>
      <c r="D51" s="212" t="str">
        <f t="shared" si="4"/>
        <v/>
      </c>
      <c r="E51" s="213" t="str">
        <f t="shared" si="5"/>
        <v/>
      </c>
      <c r="F51" s="1017" t="str">
        <f t="shared" si="2"/>
        <v/>
      </c>
      <c r="G51" s="1025"/>
      <c r="H51" s="1028" t="str">
        <f>IF($C51="","",IF(ISERROR(SUMIF(Calculations!$AE$37:$AE$61,$B51,Calculations!$AU$37:$AU$61)),"",SUMIF(Calculations!$AE$37:$AE$61,$B51,Calculations!$AU$37:$AU$61)))</f>
        <v/>
      </c>
      <c r="I51" s="212" t="str">
        <f>IF($C51="","",IF(ISERROR(SUMIF(Calculations!$AE$37:$AE$61,$B51,Calculations!$AX$37:$AX$61)),"",SUMIF(Calculations!$AE$37:$AE$61,$B51,Calculations!$AX$37:$AX$61)))</f>
        <v/>
      </c>
      <c r="J51" s="212" t="str">
        <f>IF($C51="","",IF(ISERROR(SUMIF(Calculations!$AE$37:$AE$61,$B51,Calculations!$BC$37:$BC$61)),"",SUMIF(Calculations!$AE$37:$AE$61,$B51,Calculations!$BC$37:$BC$61)))</f>
        <v/>
      </c>
      <c r="K51" s="1030" t="str">
        <f>IF($C51="","",IF(ISERROR(SUMIF(Calculations!$AE$37:$AE$61,$B51,Calculations!$BG$37:$BG$61)),"",SUMIF(Calculations!$AE$37:$AE$61,$B51,Calculations!$BG$37:$BG$61)))</f>
        <v/>
      </c>
    </row>
    <row r="52" spans="2:14" x14ac:dyDescent="0.3">
      <c r="B52" s="1016" t="s">
        <v>872</v>
      </c>
      <c r="C52" s="211" t="str">
        <f>IF(COUNTIF(Calculations!$AE$37:$AE$61,$B52)=0,"",COUNTIF(Calculations!$AE$37:$AE$61,$B52))</f>
        <v/>
      </c>
      <c r="D52" s="212" t="str">
        <f t="shared" si="4"/>
        <v/>
      </c>
      <c r="E52" s="213" t="str">
        <f t="shared" si="5"/>
        <v/>
      </c>
      <c r="F52" s="1017" t="str">
        <f t="shared" si="2"/>
        <v/>
      </c>
      <c r="G52" s="1025"/>
      <c r="H52" s="1028" t="str">
        <f>IF($C52="","",IF(ISERROR(SUMIF(Calculations!$AE$37:$AE$61,$B52,Calculations!$AU$37:$AU$61)),"",SUMIF(Calculations!$AE$37:$AE$61,$B52,Calculations!$AU$37:$AU$61)))</f>
        <v/>
      </c>
      <c r="I52" s="212" t="str">
        <f>IF($C52="","",IF(ISERROR(SUMIF(Calculations!$AE$37:$AE$61,$B52,Calculations!$AX$37:$AX$61)),"",SUMIF(Calculations!$AE$37:$AE$61,$B52,Calculations!$AX$37:$AX$61)))</f>
        <v/>
      </c>
      <c r="J52" s="212" t="str">
        <f>IF($C52="","",IF(ISERROR(SUMIF(Calculations!$AE$37:$AE$61,$B52,Calculations!$BC$37:$BC$61)),"",SUMIF(Calculations!$AE$37:$AE$61,$B52,Calculations!$BC$37:$BC$61)))</f>
        <v/>
      </c>
      <c r="K52" s="1030" t="str">
        <f>IF($C52="","",IF(ISERROR(SUMIF(Calculations!$AE$37:$AE$61,$B52,Calculations!$BG$37:$BG$61)),"",SUMIF(Calculations!$AE$37:$AE$61,$B52,Calculations!$BG$37:$BG$61)))</f>
        <v/>
      </c>
    </row>
    <row r="53" spans="2:14" x14ac:dyDescent="0.3">
      <c r="B53" s="1016" t="s">
        <v>873</v>
      </c>
      <c r="C53" s="211" t="str">
        <f>IF(COUNTIF(Calculations!$AE$37:$AE$61,$B53)=0,"",COUNTIF(Calculations!$AE$37:$AE$61,$B53))</f>
        <v/>
      </c>
      <c r="D53" s="212" t="str">
        <f t="shared" si="4"/>
        <v/>
      </c>
      <c r="E53" s="213" t="str">
        <f t="shared" si="5"/>
        <v/>
      </c>
      <c r="F53" s="1017" t="str">
        <f t="shared" si="2"/>
        <v/>
      </c>
      <c r="G53" s="1025"/>
      <c r="H53" s="1028" t="str">
        <f>IF($C53="","",IF(ISERROR(SUMIF(Calculations!$AE$37:$AE$61,$B53,Calculations!$AU$37:$AU$61)),"",SUMIF(Calculations!$AE$37:$AE$61,$B53,Calculations!$AU$37:$AU$61)))</f>
        <v/>
      </c>
      <c r="I53" s="212" t="str">
        <f>IF($C53="","",IF(ISERROR(SUMIF(Calculations!$AE$37:$AE$61,$B53,Calculations!$AX$37:$AX$61)),"",SUMIF(Calculations!$AE$37:$AE$61,$B53,Calculations!$AX$37:$AX$61)))</f>
        <v/>
      </c>
      <c r="J53" s="212" t="str">
        <f>IF($C53="","",IF(ISERROR(SUMIF(Calculations!$AE$37:$AE$61,$B53,Calculations!$BC$37:$BC$61)),"",SUMIF(Calculations!$AE$37:$AE$61,$B53,Calculations!$BC$37:$BC$61)))</f>
        <v/>
      </c>
      <c r="K53" s="1030" t="str">
        <f>IF($C53="","",IF(ISERROR(SUMIF(Calculations!$AE$37:$AE$61,$B53,Calculations!$BG$37:$BG$61)),"",SUMIF(Calculations!$AE$37:$AE$61,$B53,Calculations!$BG$37:$BG$61)))</f>
        <v/>
      </c>
    </row>
    <row r="54" spans="2:14" hidden="1" x14ac:dyDescent="0.3">
      <c r="B54" s="1016" t="s">
        <v>1336</v>
      </c>
      <c r="C54" s="211" t="str">
        <f>IF(COUNTIF(Calculations!$AE$37:$AE$61,$B54)=0,"",COUNTIF(Calculations!$AE$37:$AE$61,$B54))</f>
        <v/>
      </c>
      <c r="D54" s="212" t="str">
        <f t="shared" si="4"/>
        <v/>
      </c>
      <c r="E54" s="213" t="str">
        <f t="shared" si="5"/>
        <v/>
      </c>
      <c r="F54" s="1017" t="str">
        <f t="shared" si="2"/>
        <v/>
      </c>
      <c r="G54" s="1025"/>
      <c r="H54" s="1028" t="str">
        <f>IF($C54="","",IF(ISERROR(SUMIF(Calculations!$AE$37:$AE$61,$B54,Calculations!$AU$37:$AU$61)),"",SUMIF(Calculations!$AE$37:$AE$61,$B54,Calculations!$AU$37:$AU$61)))</f>
        <v/>
      </c>
      <c r="I54" s="212" t="str">
        <f>IF($C54="","",IF(ISERROR(SUMIF(Calculations!$AE$37:$AE$61,$B54,Calculations!$AX$37:$AX$61)),"",SUMIF(Calculations!$AE$37:$AE$61,$B54,Calculations!$AX$37:$AX$61)))</f>
        <v/>
      </c>
      <c r="J54" s="212" t="str">
        <f>IF($C54="","",IF(ISERROR(SUMIF(Calculations!$AE$37:$AE$61,$B54,Calculations!$BC$37:$BC$61)),"",SUMIF(Calculations!$AE$37:$AE$61,$B54,Calculations!$BC$37:$BC$61)))</f>
        <v/>
      </c>
      <c r="K54" s="1030" t="str">
        <f>IF($C54="","",IF(ISERROR(SUMIF(Calculations!$AE$37:$AE$61,$B54,Calculations!$BG$37:$BG$61)),"",SUMIF(Calculations!$AE$37:$AE$61,$B54,Calculations!$BG$37:$BG$61)))</f>
        <v/>
      </c>
    </row>
    <row r="55" spans="2:14" x14ac:dyDescent="0.3">
      <c r="B55" s="1016" t="s">
        <v>1099</v>
      </c>
      <c r="C55" s="211" t="str">
        <f>IF(COUNTIF(Calculations!$AE$37:$AE$61,$B55)=0,"",COUNTIF(Calculations!$AE$37:$AE$61,$B55))</f>
        <v/>
      </c>
      <c r="D55" s="212" t="str">
        <f t="shared" si="4"/>
        <v/>
      </c>
      <c r="E55" s="213" t="str">
        <f t="shared" si="5"/>
        <v/>
      </c>
      <c r="F55" s="1017" t="str">
        <f t="shared" si="2"/>
        <v/>
      </c>
      <c r="G55" s="1025"/>
      <c r="H55" s="1028" t="str">
        <f>IF($C55="","",IF(ISERROR(SUMIF(Calculations!$AE$37:$AE$61,$B55,Calculations!$AU$37:$AU$61)),"",SUMIF(Calculations!$AE$37:$AE$61,$B55,Calculations!$AU$37:$AU$61)))</f>
        <v/>
      </c>
      <c r="I55" s="212" t="str">
        <f>IF($C55="","",IF(ISERROR(SUMIF(Calculations!$AE$37:$AE$61,$B55,Calculations!$AX$37:$AX$61)),"",SUMIF(Calculations!$AE$37:$AE$61,$B55,Calculations!$AX$37:$AX$61)))</f>
        <v/>
      </c>
      <c r="J55" s="212" t="str">
        <f>IF($C55="","",IF(ISERROR(SUMIF(Calculations!$AE$37:$AE$61,$B55,Calculations!$BC$37:$BC$61)),"",SUMIF(Calculations!$AE$37:$AE$61,$B55,Calculations!$BC$37:$BC$61)))</f>
        <v/>
      </c>
      <c r="K55" s="1030" t="str">
        <f>IF($C55="","",IF(ISERROR(SUMIF(Calculations!$AE$37:$AE$61,$B55,Calculations!$BG$37:$BG$61)),"",SUMIF(Calculations!$AE$37:$AE$61,$B55,Calculations!$BG$37:$BG$61)))</f>
        <v/>
      </c>
    </row>
    <row r="56" spans="2:14" x14ac:dyDescent="0.3">
      <c r="B56" s="1016" t="s">
        <v>1100</v>
      </c>
      <c r="C56" s="211" t="str">
        <f>IF(COUNTIF(Calculations!$AE$37:$AE$61,$B56)=0,"",COUNTIF(Calculations!$AE$37:$AE$61,$B56))</f>
        <v/>
      </c>
      <c r="D56" s="212" t="str">
        <f t="shared" si="4"/>
        <v/>
      </c>
      <c r="E56" s="213" t="str">
        <f t="shared" si="5"/>
        <v/>
      </c>
      <c r="F56" s="1017" t="str">
        <f t="shared" si="2"/>
        <v/>
      </c>
      <c r="G56" s="1025"/>
      <c r="H56" s="1028" t="str">
        <f>IF($C56="","",IF(ISERROR(SUMIF(Calculations!$AE$37:$AE$61,$B56,Calculations!$AU$37:$AU$61)),"",SUMIF(Calculations!$AE$37:$AE$61,$B56,Calculations!$AU$37:$AU$61)))</f>
        <v/>
      </c>
      <c r="I56" s="212" t="str">
        <f>IF($C56="","",IF(ISERROR(SUMIF(Calculations!$AE$37:$AE$61,$B56,Calculations!$AX$37:$AX$61)),"",SUMIF(Calculations!$AE$37:$AE$61,$B56,Calculations!$AX$37:$AX$61)))</f>
        <v/>
      </c>
      <c r="J56" s="212" t="str">
        <f>IF($C56="","",IF(ISERROR(SUMIF(Calculations!$AE$37:$AE$61,$B56,Calculations!$BC$37:$BC$61)),"",SUMIF(Calculations!$AE$37:$AE$61,$B56,Calculations!$BC$37:$BC$61)))</f>
        <v/>
      </c>
      <c r="K56" s="1030" t="str">
        <f>IF($C56="","",IF(ISERROR(SUMIF(Calculations!$AE$37:$AE$61,$B56,Calculations!$BG$37:$BG$61)),"",SUMIF(Calculations!$AE$37:$AE$61,$B56,Calculations!$BG$37:$BG$61)))</f>
        <v/>
      </c>
    </row>
    <row r="57" spans="2:14" x14ac:dyDescent="0.3">
      <c r="B57" s="1016" t="s">
        <v>1101</v>
      </c>
      <c r="C57" s="211" t="str">
        <f>IF(COUNTIF(Calculations!$AE$37:$AE$61,$B57)=0,"",COUNTIF(Calculations!$AE$37:$AE$61,$B57))</f>
        <v/>
      </c>
      <c r="D57" s="212" t="str">
        <f t="shared" si="4"/>
        <v/>
      </c>
      <c r="E57" s="213" t="str">
        <f t="shared" si="5"/>
        <v/>
      </c>
      <c r="F57" s="1017" t="str">
        <f t="shared" si="2"/>
        <v/>
      </c>
      <c r="G57" s="1025"/>
      <c r="H57" s="1028" t="str">
        <f>IF($C57="","",IF(ISERROR(SUMIF(Calculations!$AE$37:$AE$61,$B57,Calculations!$AU$37:$AU$61)),"",SUMIF(Calculations!$AE$37:$AE$61,$B57,Calculations!$AU$37:$AU$61)))</f>
        <v/>
      </c>
      <c r="I57" s="212" t="str">
        <f>IF($C57="","",IF(ISERROR(SUMIF(Calculations!$AE$37:$AE$61,$B57,Calculations!$AX$37:$AX$61)),"",SUMIF(Calculations!$AE$37:$AE$61,$B57,Calculations!$AX$37:$AX$61)))</f>
        <v/>
      </c>
      <c r="J57" s="212" t="str">
        <f>IF($C57="","",IF(ISERROR(SUMIF(Calculations!$AE$37:$AE$61,$B57,Calculations!$BC$37:$BC$61)),"",SUMIF(Calculations!$AE$37:$AE$61,$B57,Calculations!$BC$37:$BC$61)))</f>
        <v/>
      </c>
      <c r="K57" s="1030" t="str">
        <f>IF($C57="","",IF(ISERROR(SUMIF(Calculations!$AE$37:$AE$61,$B57,Calculations!$BG$37:$BG$61)),"",SUMIF(Calculations!$AE$37:$AE$61,$B57,Calculations!$BG$37:$BG$61)))</f>
        <v/>
      </c>
    </row>
    <row r="58" spans="2:14" hidden="1" x14ac:dyDescent="0.3">
      <c r="B58" s="1016" t="s">
        <v>884</v>
      </c>
      <c r="C58" s="211" t="str">
        <f>IF(COUNTIF(Calculations!$AE$37:$AE$61,$B58)=0,"",COUNTIF(Calculations!$AE$37:$AE$61,$B58))</f>
        <v/>
      </c>
      <c r="D58" s="212" t="str">
        <f t="shared" si="4"/>
        <v/>
      </c>
      <c r="E58" s="213" t="str">
        <f t="shared" si="5"/>
        <v/>
      </c>
      <c r="F58" s="1017" t="str">
        <f t="shared" si="2"/>
        <v/>
      </c>
      <c r="G58" s="1025"/>
      <c r="H58" s="1028" t="str">
        <f>IF($C58="","",IF(ISERROR(SUMIF(Calculations!$AE$37:$AE$61,$B58,Calculations!$AU$37:$AU$61)),"",SUMIF(Calculations!$AE$37:$AE$61,$B58,Calculations!$AU$37:$AU$61)))</f>
        <v/>
      </c>
      <c r="I58" s="212" t="str">
        <f>IF($C58="","",IF(ISERROR(SUMIF(Calculations!$AE$37:$AE$61,$B58,Calculations!$AX$37:$AX$61)),"",SUMIF(Calculations!$AE$37:$AE$61,$B58,Calculations!$AX$37:$AX$61)))</f>
        <v/>
      </c>
      <c r="J58" s="212" t="str">
        <f>IF($C58="","",IF(ISERROR(SUMIF(Calculations!$AE$37:$AE$61,$B58,Calculations!$BC$37:$BC$61)),"",SUMIF(Calculations!$AE$37:$AE$61,$B58,Calculations!$BC$37:$BC$61)))</f>
        <v/>
      </c>
      <c r="K58" s="1030" t="str">
        <f>IF($C58="","",IF(ISERROR(SUMIF(Calculations!$AE$37:$AE$61,$B58,Calculations!$BG$37:$BG$61)),"",SUMIF(Calculations!$AE$37:$AE$61,$B58,Calculations!$BG$37:$BG$61)))</f>
        <v/>
      </c>
    </row>
    <row r="59" spans="2:14" x14ac:dyDescent="0.3">
      <c r="B59" s="1016" t="s">
        <v>874</v>
      </c>
      <c r="C59" s="211" t="str">
        <f>IF(COUNTIF(Calculations!$AE$37:$AE$61,$B59)=0,"",COUNTIF(Calculations!$AE$37:$AE$61,$B59))</f>
        <v/>
      </c>
      <c r="D59" s="212" t="str">
        <f t="shared" si="4"/>
        <v/>
      </c>
      <c r="E59" s="213" t="str">
        <f t="shared" si="5"/>
        <v/>
      </c>
      <c r="F59" s="1017" t="str">
        <f t="shared" si="2"/>
        <v/>
      </c>
      <c r="G59" s="1025"/>
      <c r="H59" s="1028" t="str">
        <f>IF($C59="","",IF(ISERROR(SUMIF(Calculations!$AE$37:$AE$61,$B59,Calculations!$AU$37:$AU$61)),"",SUMIF(Calculations!$AE$37:$AE$61,$B59,Calculations!$AU$37:$AU$61)))</f>
        <v/>
      </c>
      <c r="I59" s="212" t="str">
        <f>IF($C59="","",IF(ISERROR(SUMIF(Calculations!$AE$37:$AE$61,$B59,Calculations!$AX$37:$AX$61)),"",SUMIF(Calculations!$AE$37:$AE$61,$B59,Calculations!$AX$37:$AX$61)))</f>
        <v/>
      </c>
      <c r="J59" s="212" t="str">
        <f>IF($C59="","",IF(ISERROR(SUMIF(Calculations!$AE$37:$AE$61,$B59,Calculations!$BC$37:$BC$61)),"",SUMIF(Calculations!$AE$37:$AE$61,$B59,Calculations!$BC$37:$BC$61)))</f>
        <v/>
      </c>
      <c r="K59" s="1030" t="str">
        <f>IF($C59="","",IF(ISERROR(SUMIF(Calculations!$AE$37:$AE$61,$B59,Calculations!$BG$37:$BG$61)),"",SUMIF(Calculations!$AE$37:$AE$61,$B59,Calculations!$BG$37:$BG$61)))</f>
        <v/>
      </c>
    </row>
    <row r="60" spans="2:14" x14ac:dyDescent="0.3">
      <c r="B60" s="1016" t="s">
        <v>875</v>
      </c>
      <c r="C60" s="211" t="str">
        <f>IF(COUNTIF(Calculations!$AE$37:$AE$61,$B60)=0,"",COUNTIF(Calculations!$AE$37:$AE$61,$B60))</f>
        <v/>
      </c>
      <c r="D60" s="212" t="str">
        <f t="shared" si="4"/>
        <v/>
      </c>
      <c r="E60" s="213" t="str">
        <f t="shared" si="5"/>
        <v/>
      </c>
      <c r="F60" s="1017" t="str">
        <f t="shared" si="2"/>
        <v/>
      </c>
      <c r="G60" s="1025"/>
      <c r="H60" s="1028" t="str">
        <f>IF($C60="","",IF(ISERROR(SUMIF(Calculations!$AE$37:$AE$61,$B60,Calculations!$AU$37:$AU$61)),"",SUMIF(Calculations!$AE$37:$AE$61,$B60,Calculations!$AU$37:$AU$61)))</f>
        <v/>
      </c>
      <c r="I60" s="212" t="str">
        <f>IF($C60="","",IF(ISERROR(SUMIF(Calculations!$AE$37:$AE$61,$B60,Calculations!$AX$37:$AX$61)),"",SUMIF(Calculations!$AE$37:$AE$61,$B60,Calculations!$AX$37:$AX$61)))</f>
        <v/>
      </c>
      <c r="J60" s="212" t="str">
        <f>IF($C60="","",IF(ISERROR(SUMIF(Calculations!$AE$37:$AE$61,$B60,Calculations!$BC$37:$BC$61)),"",SUMIF(Calculations!$AE$37:$AE$61,$B60,Calculations!$BC$37:$BC$61)))</f>
        <v/>
      </c>
      <c r="K60" s="1030" t="str">
        <f>IF($C60="","",IF(ISERROR(SUMIF(Calculations!$AE$37:$AE$61,$B60,Calculations!$BG$37:$BG$61)),"",SUMIF(Calculations!$AE$37:$AE$61,$B60,Calculations!$BG$37:$BG$61)))</f>
        <v/>
      </c>
    </row>
    <row r="61" spans="2:14" x14ac:dyDescent="0.3">
      <c r="B61" s="1016" t="s">
        <v>876</v>
      </c>
      <c r="C61" s="211" t="str">
        <f>IF(COUNTIF(Calculations!$AE$37:$AE$61,$B61)=0,"",COUNTIF(Calculations!$AE$37:$AE$61,$B61))</f>
        <v/>
      </c>
      <c r="D61" s="212" t="str">
        <f t="shared" si="4"/>
        <v/>
      </c>
      <c r="E61" s="213" t="str">
        <f t="shared" si="5"/>
        <v/>
      </c>
      <c r="F61" s="1017" t="str">
        <f t="shared" si="2"/>
        <v/>
      </c>
      <c r="G61" s="1025"/>
      <c r="H61" s="1028" t="str">
        <f>IF($C61="","",IF(ISERROR(SUMIF(Calculations!$AE$37:$AE$61,$B61,Calculations!$AU$37:$AU$61)),"",SUMIF(Calculations!$AE$37:$AE$61,$B61,Calculations!$AU$37:$AU$61)))</f>
        <v/>
      </c>
      <c r="I61" s="212" t="str">
        <f>IF($C61="","",IF(ISERROR(SUMIF(Calculations!$AE$37:$AE$61,$B61,Calculations!$AX$37:$AX$61)),"",SUMIF(Calculations!$AE$37:$AE$61,$B61,Calculations!$AX$37:$AX$61)))</f>
        <v/>
      </c>
      <c r="J61" s="212" t="str">
        <f>IF($C61="","",IF(ISERROR(SUMIF(Calculations!$AE$37:$AE$61,$B61,Calculations!$BC$37:$BC$61)),"",SUMIF(Calculations!$AE$37:$AE$61,$B61,Calculations!$BC$37:$BC$61)))</f>
        <v/>
      </c>
      <c r="K61" s="1030" t="str">
        <f>IF($C61="","",IF(ISERROR(SUMIF(Calculations!$AE$37:$AE$61,$B61,Calculations!$BG$37:$BG$61)),"",SUMIF(Calculations!$AE$37:$AE$61,$B61,Calculations!$BG$37:$BG$61)))</f>
        <v/>
      </c>
    </row>
    <row r="62" spans="2:14" x14ac:dyDescent="0.3">
      <c r="B62" s="1016" t="s">
        <v>1079</v>
      </c>
      <c r="C62" s="211" t="str">
        <f>IF('Part Building ccASHP Worksheet'!$B$14="","",_xlfn.IFNA(IF(INDEX('HVAC References'!$N$224:$R$227,MATCH('Part Building ccASHP Worksheet'!$B$14,'HVAC References'!$N$224:$N$227,0),2)=B62,1,""),""))</f>
        <v/>
      </c>
      <c r="D62" s="212" t="str">
        <f t="shared" ref="D62:E63" si="8">IF($C62="","",0)</f>
        <v/>
      </c>
      <c r="E62" s="212" t="str">
        <f t="shared" si="8"/>
        <v/>
      </c>
      <c r="F62" s="1018" t="str">
        <f t="shared" si="2"/>
        <v/>
      </c>
      <c r="G62" s="1025"/>
      <c r="H62" s="1028" t="str">
        <f>IF(C62="","",0)</f>
        <v/>
      </c>
      <c r="I62" s="213" t="str">
        <f>IF(C62="","",0)</f>
        <v/>
      </c>
      <c r="J62" s="213" t="str">
        <f>IF(C62="","",0)</f>
        <v/>
      </c>
      <c r="K62" s="1029" t="str">
        <f>IF($C62="","",'Part Building ccASHP Worksheet'!I14)</f>
        <v/>
      </c>
    </row>
    <row r="63" spans="2:14" x14ac:dyDescent="0.3">
      <c r="B63" s="1016" t="s">
        <v>1080</v>
      </c>
      <c r="C63" s="211" t="str">
        <f>IF('Part Building ccASHP Worksheet'!$B$14="","",_xlfn.IFNA(IF(INDEX('HVAC References'!$N$224:$R$227,MATCH('Part Building ccASHP Worksheet'!$B$14,'HVAC References'!$N$224:$N$227,0),2)=B63,1,""),""))</f>
        <v/>
      </c>
      <c r="D63" s="212" t="str">
        <f t="shared" si="8"/>
        <v/>
      </c>
      <c r="E63" s="212" t="str">
        <f t="shared" si="8"/>
        <v/>
      </c>
      <c r="F63" s="1018" t="str">
        <f t="shared" si="2"/>
        <v/>
      </c>
      <c r="G63" s="1025"/>
      <c r="H63" s="1028" t="str">
        <f>IF(C63="","",0)</f>
        <v/>
      </c>
      <c r="I63" s="213" t="str">
        <f>IF(C63="","",0)</f>
        <v/>
      </c>
      <c r="J63" s="213" t="str">
        <f>IF(C63="","",0)</f>
        <v/>
      </c>
      <c r="K63" s="1029" t="str">
        <f>IF($C63="","",'Part Building ccASHP Worksheet'!I14)</f>
        <v/>
      </c>
    </row>
    <row r="64" spans="2:14" ht="17.25" thickBot="1" x14ac:dyDescent="0.35">
      <c r="B64" s="1021" t="s">
        <v>1081</v>
      </c>
      <c r="C64" s="1022" t="str">
        <f>IF('Part Building ccASHP Worksheet'!$B$14="","",_xlfn.IFNA(IF(INDEX('HVAC References'!$N$224:$R$227,MATCH('Part Building ccASHP Worksheet'!$B$14,'HVAC References'!$N$224:$N$227,0),2)=B64,1,""),""))</f>
        <v/>
      </c>
      <c r="D64" s="1023" t="str">
        <f>IF($C64="","",0)</f>
        <v/>
      </c>
      <c r="E64" s="1023" t="str">
        <f>IF($C64="","",0)</f>
        <v/>
      </c>
      <c r="F64" s="1024" t="str">
        <f t="shared" si="2"/>
        <v/>
      </c>
      <c r="G64" s="1025"/>
      <c r="H64" s="1032" t="str">
        <f>IF(C64="","",0)</f>
        <v/>
      </c>
      <c r="I64" s="1033" t="str">
        <f>IF(C64="","",0)</f>
        <v/>
      </c>
      <c r="J64" s="1033" t="str">
        <f>IF(C64="","",0)</f>
        <v/>
      </c>
      <c r="K64" s="1034" t="str">
        <f>IF($C64="","",'Part Building ccASHP Worksheet'!I14)</f>
        <v/>
      </c>
      <c r="N64" s="215"/>
    </row>
    <row r="65" spans="2:14" x14ac:dyDescent="0.3">
      <c r="B65" s="1035" t="s">
        <v>1229</v>
      </c>
      <c r="C65" s="1004" t="str">
        <f>IF(COUNTIF(Calculations!$AJ$68:$AJ$77,$B65)=0,"",COUNTIF(Calculations!$AJ$68:$AJ$77,$B65))</f>
        <v/>
      </c>
      <c r="D65" s="1005" t="str">
        <f>IF($C65="","",H65/C65)</f>
        <v/>
      </c>
      <c r="E65" s="1005" t="str">
        <f>IF($C65="","",I65/C65)</f>
        <v/>
      </c>
      <c r="F65" s="1040" t="str">
        <f t="shared" si="2"/>
        <v/>
      </c>
      <c r="G65" s="1025"/>
      <c r="H65" s="1037" t="str">
        <f>IF($C65="","",IF(ISERROR(SUMIF(Calculations!$AJ$68:$AJ$77,$B65,Calculations!$Y$68:$Y$77)),"",SUMIF(Calculations!$AJ$68:$AJ$77,$B65,Calculations!$Y$68:$Y$77)))</f>
        <v/>
      </c>
      <c r="I65" s="1005" t="str">
        <f>IF($C65="","",IF(ISERROR(SUMIF(Calculations!$AJ$68:$AJ$77,$B65,Calculations!$AE$68:$AE$77)),"",SUMIF(Calculations!$AJ$68:$AJ$77,$B65,Calculations!$AE$68:$AE$77)))</f>
        <v/>
      </c>
      <c r="J65" s="1005" t="str">
        <f>IF($C65="","",IF(ISERROR(SUMIF(Calculations!$AJ$68:$AJ$77,$B65,Calculations!$AH$68:$AH$77)),"",SUMIF(Calculations!$AJ$68:$AJ$77,$B65,Calculations!$AH$68:$AH$77)))</f>
        <v/>
      </c>
      <c r="K65" s="1038" t="str">
        <f>IF($C65="","",IF(ISERROR(SUMIF(Calculations!$AJ$68:$AJ$77,$B65,Calculations!$AN$68:$AN$77)),"",SUMIF(Calculations!$AJ$68:$AJ$77,$B65,Calculations!$AN$68:$AN$77)))</f>
        <v/>
      </c>
      <c r="N65" s="215"/>
    </row>
    <row r="66" spans="2:14" x14ac:dyDescent="0.3">
      <c r="B66" s="1016" t="s">
        <v>1230</v>
      </c>
      <c r="C66" s="211" t="str">
        <f>IF(COUNTIF(Calculations!$AJ$68:$AJ$77,$B66)=0,"",COUNTIF(Calculations!$AJ$68:$AJ$77,$B66))</f>
        <v/>
      </c>
      <c r="D66" s="212" t="str">
        <f>IF($C66="","",H66/C66)</f>
        <v/>
      </c>
      <c r="E66" s="212" t="str">
        <f>IF($C66="","",I66/C66)</f>
        <v/>
      </c>
      <c r="F66" s="1018" t="str">
        <f t="shared" si="2"/>
        <v/>
      </c>
      <c r="G66" s="1025"/>
      <c r="H66" s="1028" t="str">
        <f>IF($C66="","",IF(ISERROR(SUMIF(Calculations!$AJ$68:$AJ$77,$B66,Calculations!$Y$68:$Y$77)),"",SUMIF(Calculations!$AJ$68:$AJ$77,$B66,Calculations!$Y$68:$Y$77)))</f>
        <v/>
      </c>
      <c r="I66" s="212" t="str">
        <f>IF($C66="","",IF(ISERROR(SUMIF(Calculations!$AJ$68:$AJ$77,$B66,Calculations!$AE$68:$AE$77)),"",SUMIF(Calculations!$AJ$68:$AJ$77,$B66,Calculations!$AE$68:$AE$77)))</f>
        <v/>
      </c>
      <c r="J66" s="212" t="str">
        <f>IF($C66="","",IF(ISERROR(SUMIF(Calculations!$AJ$68:$AJ$77,$B66,Calculations!$AH$68:$AH$77)),"",SUMIF(Calculations!$AJ$68:$AJ$77,$B66,Calculations!$AH$68:$AH$77)))</f>
        <v/>
      </c>
      <c r="K66" s="1029" t="str">
        <f>IF($C66="","",IF(ISERROR(SUMIF(Calculations!$AJ$68:$AJ$77,$B66,Calculations!$AN$68:$AN$77)),"",SUMIF(Calculations!$AJ$68:$AJ$77,$B66,Calculations!$AN$68:$AN$77)))</f>
        <v/>
      </c>
      <c r="N66" s="215"/>
    </row>
    <row r="67" spans="2:14" x14ac:dyDescent="0.3">
      <c r="B67" s="1019" t="s">
        <v>1231</v>
      </c>
      <c r="C67" s="211" t="str">
        <f>IF(COUNTIF(Calculations!$AA$84:$AA$93,$B67)=0,"",COUNTIF(Calculations!$AA$84:$AA$93,$B67))</f>
        <v/>
      </c>
      <c r="D67" s="771" t="str">
        <f>IF($C67="","",H67/C67)</f>
        <v/>
      </c>
      <c r="E67" s="771" t="str">
        <f>IF($C67="","",I67/$C67)</f>
        <v/>
      </c>
      <c r="F67" s="1020" t="str">
        <f t="shared" si="2"/>
        <v/>
      </c>
      <c r="G67" s="1025"/>
      <c r="H67" s="1028" t="str">
        <f>IF($C67="","",IF(ISERROR(SUMIF(Calculations!$AA$84:$AA$93,$B67,Calculations!$W$84:$W$93)),"",SUMIF(Calculations!$AA$84:$AA$93,$B67,Calculations!$W$84:$W$93)))</f>
        <v/>
      </c>
      <c r="I67" s="775" t="str">
        <f>IF($C67="","",IF(ISERROR(SUMIF(Calculations!$AA$84:$AA$93,$B67,Calculations!$X$84:$X$93)),"",SUMIF(Calculations!$AA$84:$AA$93,$B67,Calculations!$X$84:$X$93)))</f>
        <v/>
      </c>
      <c r="J67" s="775" t="str">
        <f>IF($C67="","",IF(ISERROR(SUMIF(Calculations!$AA$84:$AA$93,$B67,Calculations!$Y$84:$Y$93)),"",SUMIF(Calculations!$AA$84:$AA$93,$B67,Calculations!$Y$84:$Y$93)))</f>
        <v/>
      </c>
      <c r="K67" s="1031" t="str">
        <f>IF($C67="","",IF(ISERROR(SUMIF(Calculations!$AA$84:$AA$93,$B67,Calculations!$AD$84:$AD$93)),"",SUMIF(Calculations!$AA$84:$AA$93,$B67,Calculations!$AD$84:$AD$93)))</f>
        <v/>
      </c>
      <c r="N67" s="215"/>
    </row>
    <row r="68" spans="2:14" ht="17.25" thickBot="1" x14ac:dyDescent="0.35">
      <c r="B68" s="1021" t="s">
        <v>1862</v>
      </c>
      <c r="C68" s="1022" t="str">
        <f>IF(COUNTIF(Calculations!$U$99:$U$103,$B68)=0,"",COUNTIF(Calculations!$U$99:$U$103,$B68))</f>
        <v/>
      </c>
      <c r="D68" s="1023" t="str">
        <f>IF($C68="","",H68/C68)</f>
        <v/>
      </c>
      <c r="E68" s="1023" t="str">
        <f>IF($C68="","",I68/$C68)</f>
        <v/>
      </c>
      <c r="F68" s="1024" t="str">
        <f t="shared" si="2"/>
        <v/>
      </c>
      <c r="G68" s="1025"/>
      <c r="H68" s="1032" t="str">
        <f>IF($C68="","",IF(ISERROR(SUMIF(Calculations!$U$99:$U$103,$B68,Calculations!$Q$99:$Q$103)),"",SUMIF(Calculations!$U$99:$U$103,$B68,Calculations!$Q$99:$Q$103)))</f>
        <v/>
      </c>
      <c r="I68" s="1033" t="str">
        <f>IF($C68="","",IF(ISERROR(SUMIF(Calculations!$U$99:$U$103,$B68,Calculations!$R$99:$R$103)),"",SUMIF(Calculations!$U$99:$U$103,$B68,Calculations!$R$99:$R$103)))</f>
        <v/>
      </c>
      <c r="J68" s="1033" t="str">
        <f>IF($C68="","",IF(ISERROR(SUMIF(Calculations!$U$99:$U$103,$B68,Calculations!$S$99:$S$103)),"",SUMIF(Calculations!$U$99:$U$103,$B68,Calculations!$S$99:$S$103)))</f>
        <v/>
      </c>
      <c r="K68" s="1034" t="str">
        <f>IF($C68="","",IF(ISERROR(SUMIF(Calculations!$U$99:$U$103,$B68,Calculations!$W$99:$W$103)),"",SUMIF(Calculations!$U$99:$U$103,$B68,Calculations!$W$99:$W$103)))</f>
        <v/>
      </c>
      <c r="N68" s="215"/>
    </row>
    <row r="69" spans="2:14" ht="33.950000000000003" customHeight="1" x14ac:dyDescent="0.3">
      <c r="B69" s="772" t="s">
        <v>901</v>
      </c>
      <c r="C69" s="783" t="str">
        <f>IF(SUM(C8:C49)=0,"",SUM(C8:C49))</f>
        <v/>
      </c>
      <c r="D69" s="784" t="str">
        <f>IF(H69="","",H69/C69)</f>
        <v/>
      </c>
      <c r="E69" s="785" t="str">
        <f>IF(I69="","",I69/C69)</f>
        <v/>
      </c>
      <c r="F69" s="786" t="str">
        <f>IF(J69="","",J69/C69)</f>
        <v/>
      </c>
      <c r="H69" s="1098" t="str">
        <f>IF($C69="","",SUM(H8:H49))</f>
        <v/>
      </c>
      <c r="I69" s="792" t="str">
        <f>IF($C69="","",SUM(I8:I49))</f>
        <v/>
      </c>
      <c r="J69" s="792" t="str">
        <f>IF($C69="","",SUM(J8:J49))</f>
        <v/>
      </c>
      <c r="K69" s="909">
        <f>IF(C69=0,"",SUM(K8:K49))</f>
        <v>0</v>
      </c>
    </row>
    <row r="70" spans="2:14" x14ac:dyDescent="0.3">
      <c r="B70" s="773" t="s">
        <v>902</v>
      </c>
      <c r="C70" s="787" t="str">
        <f>IF(SUM(C50:C64)=0,"",SUM(C50:C64))</f>
        <v/>
      </c>
      <c r="D70" s="788" t="str">
        <f>IF(H70="","",H70/C70)</f>
        <v/>
      </c>
      <c r="E70" s="789" t="str">
        <f>IF(I70="","",I70/C70)</f>
        <v/>
      </c>
      <c r="F70" s="790" t="str">
        <f>IF(J70="","",J70/C70)</f>
        <v/>
      </c>
      <c r="H70" s="1099" t="str">
        <f>IF($C70="","",SUM(H50:H64))</f>
        <v/>
      </c>
      <c r="I70" s="793" t="str">
        <f>IF($C70="","",SUM(I50:I64))</f>
        <v/>
      </c>
      <c r="J70" s="793" t="str">
        <f>IF($C70="","",SUM(J50:J64))</f>
        <v/>
      </c>
      <c r="K70" s="910">
        <f>IF(C70=0,"",SUM(K50:K64))</f>
        <v>0</v>
      </c>
    </row>
    <row r="71" spans="2:14" ht="17.25" thickBot="1" x14ac:dyDescent="0.35">
      <c r="B71" s="774" t="s">
        <v>1205</v>
      </c>
      <c r="C71" s="791">
        <f>SUM(C65:C68)</f>
        <v>0</v>
      </c>
      <c r="D71" s="800">
        <f>IFERROR(IF(H71="","",H71/C71),0)</f>
        <v>0</v>
      </c>
      <c r="E71" s="800">
        <f>IFERROR(IF(I71="","",I71/C71),0)</f>
        <v>0</v>
      </c>
      <c r="F71" s="801">
        <f>IFERROR(IF(J71="","",J71/C71),0)</f>
        <v>0</v>
      </c>
      <c r="H71" s="1100">
        <f>SUM(H65:H68)</f>
        <v>0</v>
      </c>
      <c r="I71" s="802">
        <f>SUM(I65:I68)</f>
        <v>0</v>
      </c>
      <c r="J71" s="802">
        <f>SUM(J65:J68)</f>
        <v>0</v>
      </c>
      <c r="K71" s="911">
        <f>SUM(K65:K68)</f>
        <v>0</v>
      </c>
    </row>
    <row r="72" spans="2:14" ht="17.25" thickBot="1" x14ac:dyDescent="0.35"/>
    <row r="73" spans="2:14" ht="50.25" thickBot="1" x14ac:dyDescent="0.35">
      <c r="H73" s="777" t="s">
        <v>717</v>
      </c>
      <c r="I73" s="778" t="s">
        <v>374</v>
      </c>
      <c r="J73" s="778" t="s">
        <v>942</v>
      </c>
      <c r="K73" s="779" t="s">
        <v>1090</v>
      </c>
    </row>
    <row r="74" spans="2:14" ht="17.25" thickBot="1" x14ac:dyDescent="0.35">
      <c r="H74" s="803">
        <f>SUM(H10:H67)</f>
        <v>0</v>
      </c>
      <c r="I74" s="780" t="str">
        <f>IF(OR(K74=0,H69=""),"",K74/H69)</f>
        <v/>
      </c>
      <c r="J74" s="781">
        <f>SUM(J8:J67)</f>
        <v>0</v>
      </c>
      <c r="K74" s="782">
        <f>SUM(K8:K68)</f>
        <v>0</v>
      </c>
    </row>
  </sheetData>
  <sheetProtection algorithmName="SHA-512" hashValue="qSjC36GXszd5KUji4IX9Cpam9sOKQCy84Fizp6ErGOjVnD20Q93cJpwmCf+1Kj1VBNZ0qn0X+Rwe9BO+qPzwzw==" saltValue="kVDFSJs666ts7FJSHEUZ2A==" spinCount="100000" sheet="1" objects="1" scenarios="1"/>
  <mergeCells count="2">
    <mergeCell ref="B1:F1"/>
    <mergeCell ref="B2:F2"/>
  </mergeCells>
  <conditionalFormatting sqref="B8:K68">
    <cfRule type="expression" dxfId="4" priority="6" stopIfTrue="1">
      <formula>NOT($C8="")</formula>
    </cfRule>
  </conditionalFormatting>
  <pageMargins left="0.7" right="0.7" top="0.75" bottom="0.75" header="0.3" footer="0.3"/>
  <pageSetup scale="5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9059-7D2A-41EC-B3EE-C37B91C9B229}">
  <sheetPr codeName="Sheet23">
    <tabColor rgb="FFC00000"/>
  </sheetPr>
  <dimension ref="A2:BH103"/>
  <sheetViews>
    <sheetView showGridLines="0" zoomScale="80" zoomScaleNormal="80" workbookViewId="0">
      <selection activeCell="E3" sqref="E3"/>
    </sheetView>
  </sheetViews>
  <sheetFormatPr defaultRowHeight="15" x14ac:dyDescent="0.25"/>
  <cols>
    <col min="1" max="1" width="12" customWidth="1"/>
    <col min="2" max="2" width="33" bestFit="1" customWidth="1"/>
    <col min="3" max="3" width="29.42578125" bestFit="1" customWidth="1"/>
    <col min="4" max="4" width="25.140625" bestFit="1" customWidth="1"/>
    <col min="5" max="5" width="28.5703125" bestFit="1" customWidth="1"/>
    <col min="6" max="6" width="14.28515625" bestFit="1" customWidth="1"/>
    <col min="7" max="8" width="13.140625" bestFit="1" customWidth="1"/>
    <col min="9" max="9" width="13.85546875" bestFit="1" customWidth="1"/>
    <col min="10" max="10" width="13.85546875" customWidth="1"/>
    <col min="11" max="11" width="20.28515625" bestFit="1" customWidth="1"/>
    <col min="12" max="12" width="17.28515625" bestFit="1" customWidth="1"/>
    <col min="13" max="13" width="19.5703125" bestFit="1" customWidth="1"/>
    <col min="14" max="14" width="25.140625" bestFit="1" customWidth="1"/>
    <col min="15" max="15" width="38.42578125" bestFit="1" customWidth="1"/>
    <col min="16" max="16" width="48.42578125" customWidth="1"/>
    <col min="17" max="18" width="14.5703125" customWidth="1"/>
    <col min="19" max="19" width="17.85546875" bestFit="1" customWidth="1"/>
    <col min="20" max="21" width="14.5703125" customWidth="1"/>
    <col min="22" max="22" width="22.7109375" bestFit="1" customWidth="1"/>
    <col min="23" max="23" width="14.5703125" customWidth="1"/>
    <col min="24" max="24" width="33.42578125" bestFit="1" customWidth="1"/>
    <col min="25" max="25" width="25.28515625" bestFit="1" customWidth="1"/>
    <col min="26" max="26" width="14.5703125" customWidth="1"/>
    <col min="27" max="27" width="17.85546875" bestFit="1" customWidth="1"/>
    <col min="28" max="31" width="14.5703125" customWidth="1"/>
    <col min="32" max="32" width="14.42578125" bestFit="1" customWidth="1"/>
    <col min="33" max="33" width="12.85546875" bestFit="1" customWidth="1"/>
    <col min="34" max="34" width="13.140625" bestFit="1" customWidth="1"/>
    <col min="35" max="35" width="12.5703125" customWidth="1"/>
    <col min="36" max="36" width="13.7109375" bestFit="1" customWidth="1"/>
    <col min="37" max="37" width="14" bestFit="1" customWidth="1"/>
    <col min="38" max="38" width="12.5703125" customWidth="1"/>
    <col min="39" max="41" width="16" customWidth="1"/>
    <col min="42" max="43" width="12.5703125" customWidth="1"/>
    <col min="44" max="44" width="14.42578125" bestFit="1" customWidth="1"/>
    <col min="45" max="45" width="14.85546875" bestFit="1" customWidth="1"/>
    <col min="46" max="46" width="14.42578125" bestFit="1" customWidth="1"/>
    <col min="47" max="47" width="17.28515625" bestFit="1" customWidth="1"/>
    <col min="48" max="48" width="14.85546875" bestFit="1" customWidth="1"/>
    <col min="49" max="49" width="13" customWidth="1"/>
    <col min="50" max="50" width="11.5703125" customWidth="1"/>
    <col min="51" max="52" width="14.7109375" customWidth="1"/>
    <col min="53" max="54" width="13.5703125" bestFit="1" customWidth="1"/>
    <col min="55" max="55" width="10" bestFit="1" customWidth="1"/>
    <col min="56" max="56" width="12.7109375" bestFit="1" customWidth="1"/>
    <col min="57" max="57" width="17.28515625" bestFit="1" customWidth="1"/>
    <col min="58" max="58" width="12.7109375" bestFit="1" customWidth="1"/>
    <col min="59" max="59" width="17.28515625" bestFit="1" customWidth="1"/>
    <col min="60" max="60" width="13.5703125" bestFit="1" customWidth="1"/>
  </cols>
  <sheetData>
    <row r="2" spans="1:54" ht="28.5" x14ac:dyDescent="0.45">
      <c r="A2" s="575" t="s">
        <v>1542</v>
      </c>
    </row>
    <row r="3" spans="1:54" ht="15.75" thickBot="1" x14ac:dyDescent="0.3"/>
    <row r="4" spans="1:54" ht="15.75" thickBot="1" x14ac:dyDescent="0.3">
      <c r="A4" s="1260" t="s">
        <v>1544</v>
      </c>
      <c r="B4" s="1261"/>
      <c r="C4" s="1261"/>
      <c r="D4" s="1261"/>
      <c r="E4" s="1261"/>
      <c r="F4" s="1261"/>
      <c r="G4" s="1261"/>
      <c r="H4" s="1261"/>
      <c r="I4" s="1261"/>
      <c r="J4" s="1261"/>
      <c r="K4" s="1262"/>
      <c r="M4" s="1260" t="s">
        <v>1492</v>
      </c>
      <c r="N4" s="1261"/>
      <c r="O4" s="1261"/>
      <c r="P4" s="1261"/>
      <c r="Q4" s="1261"/>
      <c r="R4" s="1261"/>
      <c r="S4" s="1261"/>
      <c r="T4" s="1261"/>
      <c r="U4" s="1261"/>
      <c r="V4" s="1261"/>
      <c r="W4" s="1261"/>
      <c r="X4" s="1261"/>
      <c r="Y4" s="1261"/>
      <c r="Z4" s="1261"/>
      <c r="AA4" s="1261"/>
      <c r="AB4" s="1261"/>
      <c r="AC4" s="1261"/>
      <c r="AD4" s="1261"/>
      <c r="AE4" s="1261"/>
      <c r="AF4" s="1261"/>
      <c r="AG4" s="1261"/>
      <c r="AI4" s="1260" t="s">
        <v>1568</v>
      </c>
      <c r="AJ4" s="1261"/>
      <c r="AK4" s="1261"/>
      <c r="AL4" s="1261"/>
      <c r="AM4" s="1261"/>
      <c r="AN4" s="1261"/>
      <c r="AO4" s="1261"/>
      <c r="AP4" s="1261"/>
      <c r="AQ4" s="1261"/>
      <c r="AR4" s="1262"/>
      <c r="AT4" s="583" t="s">
        <v>1917</v>
      </c>
      <c r="AU4" s="1082"/>
      <c r="AV4" s="1082"/>
      <c r="AW4" s="434"/>
      <c r="AY4" s="583" t="s">
        <v>1569</v>
      </c>
      <c r="AZ4" s="1082"/>
      <c r="BA4" s="1082"/>
      <c r="BB4" s="434"/>
    </row>
    <row r="5" spans="1:54" ht="15.75" thickBot="1" x14ac:dyDescent="0.3">
      <c r="A5" s="576" t="s">
        <v>1543</v>
      </c>
      <c r="B5" s="443" t="s">
        <v>1559</v>
      </c>
      <c r="C5" s="443" t="s">
        <v>1545</v>
      </c>
      <c r="D5" s="577" t="s">
        <v>1193</v>
      </c>
      <c r="E5" s="443" t="s">
        <v>1546</v>
      </c>
      <c r="F5" s="408" t="s">
        <v>408</v>
      </c>
      <c r="G5" s="443" t="s">
        <v>410</v>
      </c>
      <c r="H5" s="443" t="s">
        <v>409</v>
      </c>
      <c r="I5" s="443" t="s">
        <v>1616</v>
      </c>
      <c r="J5" s="443" t="s">
        <v>1619</v>
      </c>
      <c r="K5" s="443" t="s">
        <v>1620</v>
      </c>
      <c r="M5" s="443" t="s">
        <v>125</v>
      </c>
      <c r="N5" s="443" t="s">
        <v>13</v>
      </c>
      <c r="O5" s="443" t="s">
        <v>10</v>
      </c>
      <c r="P5" s="443" t="s">
        <v>1500</v>
      </c>
      <c r="Q5" s="443" t="s">
        <v>1548</v>
      </c>
      <c r="R5" s="443" t="s">
        <v>1948</v>
      </c>
      <c r="S5" s="443" t="s">
        <v>1549</v>
      </c>
      <c r="T5" s="443" t="s">
        <v>1560</v>
      </c>
      <c r="U5" s="443" t="s">
        <v>1537</v>
      </c>
      <c r="V5" s="443" t="s">
        <v>1551</v>
      </c>
      <c r="W5" s="443" t="s">
        <v>1552</v>
      </c>
      <c r="X5" s="443" t="s">
        <v>1553</v>
      </c>
      <c r="Y5" s="443" t="s">
        <v>1547</v>
      </c>
      <c r="Z5" s="443" t="s">
        <v>1554</v>
      </c>
      <c r="AA5" s="443" t="s">
        <v>1555</v>
      </c>
      <c r="AB5" s="443" t="s">
        <v>1550</v>
      </c>
      <c r="AC5" s="443" t="s">
        <v>1556</v>
      </c>
      <c r="AD5" s="443" t="s">
        <v>1557</v>
      </c>
      <c r="AE5" s="443" t="s">
        <v>1617</v>
      </c>
      <c r="AF5" s="443" t="s">
        <v>1558</v>
      </c>
      <c r="AG5" s="573" t="s">
        <v>267</v>
      </c>
      <c r="AI5" s="545" t="s">
        <v>1618</v>
      </c>
      <c r="AJ5" s="443" t="s">
        <v>1561</v>
      </c>
      <c r="AK5" s="443" t="s">
        <v>1621</v>
      </c>
      <c r="AL5" s="443" t="s">
        <v>1622</v>
      </c>
      <c r="AM5" s="443" t="s">
        <v>1562</v>
      </c>
      <c r="AN5" s="443" t="s">
        <v>1563</v>
      </c>
      <c r="AO5" s="443" t="s">
        <v>1564</v>
      </c>
      <c r="AP5" s="443" t="s">
        <v>1565</v>
      </c>
      <c r="AQ5" s="443" t="s">
        <v>1566</v>
      </c>
      <c r="AR5" s="443" t="s">
        <v>1567</v>
      </c>
      <c r="AT5" s="408" t="s">
        <v>1561</v>
      </c>
      <c r="AU5" s="443" t="s">
        <v>1562</v>
      </c>
      <c r="AV5" s="443" t="s">
        <v>1564</v>
      </c>
      <c r="AW5" s="408" t="s">
        <v>1919</v>
      </c>
      <c r="AY5" s="443" t="s">
        <v>405</v>
      </c>
      <c r="AZ5" s="443" t="s">
        <v>1570</v>
      </c>
      <c r="BA5" s="443" t="s">
        <v>1571</v>
      </c>
      <c r="BB5" s="443" t="s">
        <v>1572</v>
      </c>
    </row>
    <row r="6" spans="1:54" x14ac:dyDescent="0.25">
      <c r="A6" s="432">
        <v>1</v>
      </c>
      <c r="B6" s="433" t="str">
        <f>IF(AG6="","",IF('HVAC Inputs'!$F$6="","",'HVAC Inputs'!$F$6))</f>
        <v/>
      </c>
      <c r="C6" s="433" t="str">
        <f>IF(M6="","",'HVAC Inputs'!R16)</f>
        <v/>
      </c>
      <c r="D6" s="433" t="str">
        <f>IF(M6="","",'HVAC Inputs'!S16)</f>
        <v/>
      </c>
      <c r="E6" s="433" t="str">
        <f>IF(M6="","",IF(AI6=2,"",IF('HVAC Inputs'!U16="",IF(OR(D6='HVAC References'!$F$9,D6='HVAC References'!$F$4),INDEX('HVAC References'!$E$35:$N$57,MATCH(P6,'HVAC References'!$E$35:$E$57,0),5),INDEX('HVAC References'!$E$35:$N$57,MATCH(P6,'HVAC References'!$E$35:$E$57,0),4)),'HVAC Inputs'!U16)))</f>
        <v/>
      </c>
      <c r="F6" s="437" t="str">
        <f>IF(M6="","",IF(OR(AI6=2,AI6=3),IF('HVAC Inputs'!V16="",IF(OR(D6='HVAC References'!$F$9,D6='HVAC References'!$F$4),INDEX('HVAC References'!$E$35:$N$57,MATCH(P6,'HVAC References'!$E$35:$E$57,0),3),INDEX('HVAC References'!$E$35:$N$57,MATCH(P6,'HVAC References'!$E$35:$E$57,0),2)),'HVAC Inputs'!V16)-(0.3*((R6*12000)/1000)),IF('HVAC Inputs'!V16="",IF(OR(D6='HVAC References'!$F$9,D6='HVAC References'!$F$4),INDEX('HVAC References'!$E$35:$N$57,MATCH(P6,'HVAC References'!$E$35:$E$57,0),3),INDEX('HVAC References'!$E$35:$N$57,MATCH(P6,'HVAC References'!$E$35:$E$57,0),2)),'HVAC Inputs'!V16)))</f>
        <v/>
      </c>
      <c r="G6" s="433" t="str">
        <f>IF(M6="","",IF(AI6=3,IF('HVAC Inputs'!X16="",INDEX('HVAC References'!$E$35:$L$57,MATCH(P6,'HVAC References'!$E$35:$E$57,0),6),'HVAC Inputs'!X16)-(0.052*((R6*12000)/1000)),""))</f>
        <v/>
      </c>
      <c r="H6" s="433" t="str">
        <f>IF('HVAC Inputs'!W16="","",'HVAC Inputs'!W16)</f>
        <v/>
      </c>
      <c r="I6" s="435" t="str">
        <f>IF('HVAC Inputs'!Y16="",IF(OR(D6='HVAC References'!$Z$35,D6='HVAC References'!$Z$39,D6=""),"",INDEX('HVAC References'!$Z$35:$AA$40,MATCH(D6,'HVAC References'!$Z$35:$Z$40,0),2)),'HVAC Inputs'!Y16)</f>
        <v/>
      </c>
      <c r="J6" s="436">
        <f>IF(D6='HVAC References'!$F$4,0,1)</f>
        <v>1</v>
      </c>
      <c r="K6" s="436">
        <f>IF(D6='HVAC References'!$F$4,1,0)</f>
        <v>0</v>
      </c>
      <c r="M6" s="437" t="str">
        <f>IF('HVAC Inputs'!B16="","",'HVAC Inputs'!B16)</f>
        <v/>
      </c>
      <c r="N6" s="433" t="str">
        <f>IF(M6="","",'HVAC Inputs'!C16)</f>
        <v/>
      </c>
      <c r="O6" s="433" t="str">
        <f>IF(M6="","",'HVAC Inputs'!D16)</f>
        <v/>
      </c>
      <c r="P6" s="433" t="str">
        <f>M6&amp;" "&amp;N6&amp;" "&amp;O6</f>
        <v xml:space="preserve">  </v>
      </c>
      <c r="Q6" s="433" t="str">
        <f>IF(M6="","",'HVAC Inputs'!G16)</f>
        <v/>
      </c>
      <c r="R6" s="433" t="str">
        <f>IF(Q6="","",IF(Q6&gt;'HVAC References'!$H$188,'HVAC References'!$H$188,IF(Q6&lt;'HVAC References'!$H$187,'HVAC References'!$H$187,Q6)))</f>
        <v/>
      </c>
      <c r="S6" s="433" t="str">
        <f>IF(M6="","",'HVAC Inputs'!H16)</f>
        <v/>
      </c>
      <c r="T6" s="433" t="str">
        <f>IF(AG6="","",INDEX('HVAC References'!$B$5:$D$26,MATCH(B6,'HVAC References'!$B$5:$B$26,0),2))</f>
        <v/>
      </c>
      <c r="U6" s="433" t="str">
        <f>IF(AG6="","",INDEX('HVAC References'!$B$5:$D$26,MATCH(B6,'HVAC References'!$B$5:$B$26,0),3))</f>
        <v/>
      </c>
      <c r="V6" s="433" t="str">
        <f>IF('HVAC Inputs'!I16="","",'HVAC Inputs'!I16)</f>
        <v/>
      </c>
      <c r="W6" s="433" t="str">
        <f>IF('HVAC Inputs'!J16="","",'HVAC Inputs'!J16)</f>
        <v/>
      </c>
      <c r="X6" s="433" t="str">
        <f>IF('HVAC Inputs'!K16="","",'HVAC Inputs'!K16)</f>
        <v/>
      </c>
      <c r="Y6" s="433" t="str">
        <f>IF('HVAC Inputs'!L16="","",'HVAC Inputs'!L16)</f>
        <v/>
      </c>
      <c r="Z6" s="433" t="str">
        <f>IF(M6="","",INDEX('HVAC References'!$E$35:$P$57,MATCH(P6,'HVAC References'!$E$35:$E$57,0),10))</f>
        <v/>
      </c>
      <c r="AA6" s="433" t="str">
        <f>IF(M6="","",INDEX('HVAC References'!$E$35:$P$57,MATCH(P6,'HVAC References'!$E$35:$E$57,0),9))</f>
        <v/>
      </c>
      <c r="AB6" s="433" t="str">
        <f>IF(M6="","",INDEX('HVAC References'!$E$35:$P$57,MATCH(P6,'HVAC References'!$E$35:$E$57,0),11))</f>
        <v/>
      </c>
      <c r="AC6" s="433" t="str">
        <f t="shared" ref="AC6:AC30" si="0">IF(M6="","",IF(V6&gt;=Z6,"Pass","Fail"))</f>
        <v/>
      </c>
      <c r="AD6" s="433" t="str">
        <f t="shared" ref="AD6:AD30" si="1">IF(M6="","",IF(W6&gt;=AA6,"Pass","Fail"))</f>
        <v/>
      </c>
      <c r="AE6" s="433" t="str">
        <f t="shared" ref="AE6:AE30" si="2">IF(M6="","",IF(AI6=3,IF(Y6="","Fail",IF(Y6&gt;=AB6,"Pass","Fail")),"Pass"))</f>
        <v/>
      </c>
      <c r="AF6" s="433" t="str">
        <f>IF(AND(AC6="Pass",AD6="Pass",AE6="Pass"),"PASS","FAIL")</f>
        <v>FAIL</v>
      </c>
      <c r="AG6" s="433" t="str">
        <f>IF(AF6="Fail","",INDEX('HVAC References'!$E$35:$R$57,MATCH(P6,'HVAC References'!$E$35:$E$57,0),14))</f>
        <v/>
      </c>
      <c r="AI6" s="546" t="str">
        <f>IF(M6="","",INDEX('HVAC References'!$E$35:$R$57,MATCH(P6,'HVAC References'!$E$35:$E$57,0),13))</f>
        <v/>
      </c>
      <c r="AJ6" s="437" t="str">
        <f t="shared" ref="AJ6:AJ30" si="3">IF(AF6="Pass",Q6*(12/F6-12/W6),"")</f>
        <v/>
      </c>
      <c r="AK6" s="433" t="str">
        <f t="shared" ref="AK6:AK30" si="4">IF(AF6="Pass",IF(AI6=3,Q6*(1/F6-1/W6)*T6,""),"")</f>
        <v/>
      </c>
      <c r="AL6" s="433" t="str">
        <f t="shared" ref="AL6:AL30" si="5">IF(AF6="Pass",IF(AI6=3,IF(K6=1,IF(AND(X6&lt;&gt;"",H6&lt;&gt;""),Q6*(1/H6-1/X6)*U6,Q6*(1/G6-1/Y6)*U6/3.412),0),""),"")</f>
        <v/>
      </c>
      <c r="AM6" s="433" t="str">
        <f t="shared" ref="AM6:AM30" si="6">IF(AF6="Pass",IF(AI6=3,AK6+AL6,IF(AI6=2,(Q6*(12/F6-12/W6)*T6),(Q6*(12/E6-12/V6)*T6))),"")</f>
        <v/>
      </c>
      <c r="AN6" s="433" t="str">
        <f t="shared" ref="AN6:AN30" si="7">IF(AF6="Pass",IF(AI6=3,IF(J6=1,IF(AND(X6&lt;&gt;"",H6&lt;&gt;""),12/X6*U6,12/Y6*U6/3.412),0),0),"")</f>
        <v/>
      </c>
      <c r="AO6" s="433" t="str">
        <f t="shared" ref="AO6" si="8">IF(AF6="Pass",AM6-AN6,"")</f>
        <v/>
      </c>
      <c r="AP6" s="433" t="str">
        <f>IF(AF6="Pass",AM6*'HVAC References'!$H$12,"")</f>
        <v/>
      </c>
      <c r="AQ6" s="433" t="str">
        <f>IF(AF6="Pass",IF(AI6=3,IF(J6=1,0.012*(1/I6)*U6)-AN6*'HVAC References'!$H$12,0),"")</f>
        <v/>
      </c>
      <c r="AR6" s="433" t="str">
        <f t="shared" ref="AR6" si="9">IF(AF6="Pass",AP6+AQ6,"")</f>
        <v/>
      </c>
      <c r="AT6" s="437" t="e">
        <f t="shared" ref="AT6:AT30" si="10">AJ6*$S6</f>
        <v>#VALUE!</v>
      </c>
      <c r="AU6" s="433" t="e">
        <f t="shared" ref="AU6:AU30" si="11">AM6*$S6</f>
        <v>#VALUE!</v>
      </c>
      <c r="AV6" s="433" t="e">
        <f t="shared" ref="AV6:AV30" si="12">AO6*$S6</f>
        <v>#VALUE!</v>
      </c>
      <c r="AW6" s="433" t="e">
        <f t="shared" ref="AW6:AW30" si="13">AR6*$S6</f>
        <v>#VALUE!</v>
      </c>
      <c r="AY6" s="571" t="str">
        <f>IF('HVAC Inputs'!P16="","",'HVAC Inputs'!P16*S6)</f>
        <v/>
      </c>
      <c r="AZ6" s="441">
        <f>IF(AF6="Pass",IF('HVAC References'!$K$12="Yes",INDEX('HVAC References'!$E$35:$X$57,MATCH(P6,'HVAC References'!$E$35:$E$57,0),20),INDEX('HVAC References'!$E$35:$X$57,MATCH(P6,'HVAC References'!$E$35:$E$57,0),12)),0)</f>
        <v>0</v>
      </c>
      <c r="BA6" s="441">
        <f t="shared" ref="BA6:BA30" si="14">IF(AF6="Pass",IF(AI6=3,ROUND(Q6*AZ6,2)*S6,ROUND((AZ6*AM6)*S6,2)),0)</f>
        <v>0</v>
      </c>
      <c r="BB6" s="1263">
        <f>MIN(SUM(AY6:AY30)*0.7,SUM(BA6:BA30))</f>
        <v>0</v>
      </c>
    </row>
    <row r="7" spans="1:54" x14ac:dyDescent="0.25">
      <c r="A7" s="429">
        <v>2</v>
      </c>
      <c r="B7" s="428" t="str">
        <f>IF(AG7="","",IF('HVAC Inputs'!$F$6="","",'HVAC Inputs'!$F$6))</f>
        <v/>
      </c>
      <c r="C7" s="428" t="str">
        <f>IF(M7="","",'HVAC Inputs'!R17)</f>
        <v/>
      </c>
      <c r="D7" s="428" t="str">
        <f>IF(M7="","",'HVAC Inputs'!S17)</f>
        <v/>
      </c>
      <c r="E7" s="428" t="str">
        <f>IF(M7="","",IF(AI7=2,"",IF('HVAC Inputs'!U17="",IF(OR(D7='HVAC References'!$F$9,D7='HVAC References'!$F$4),INDEX('HVAC References'!$E$35:$N$57,MATCH(P7,'HVAC References'!$E$35:$E$57,0),5),INDEX('HVAC References'!$E$35:$N$57,MATCH(P7,'HVAC References'!$E$35:$E$57,0),4)),'HVAC Inputs'!U17)))</f>
        <v/>
      </c>
      <c r="F7" s="437" t="str">
        <f>IF(M7="","",IF(OR(AI7=2,AI7=3),IF('HVAC Inputs'!V17="",IF(OR(D7='HVAC References'!$F$9,D7='HVAC References'!$F$4),INDEX('HVAC References'!$E$35:$N$57,MATCH(P7,'HVAC References'!$E$35:$E$57,0),3),INDEX('HVAC References'!$E$35:$N$57,MATCH(P7,'HVAC References'!$E$35:$E$57,0),2)),'HVAC Inputs'!V17)-(0.3*((R7*12000)/1000)),IF('HVAC Inputs'!V17="",IF(OR(D7='HVAC References'!$F$9,D7='HVAC References'!$F$4),INDEX('HVAC References'!$E$35:$N$57,MATCH(P7,'HVAC References'!$E$35:$E$57,0),3),INDEX('HVAC References'!$E$35:$N$57,MATCH(P7,'HVAC References'!$E$35:$E$57,0),2)),'HVAC Inputs'!V17)))</f>
        <v/>
      </c>
      <c r="G7" s="428" t="str">
        <f>IF(M7="","",IF(AI7=3,IF('HVAC Inputs'!X17="",INDEX('HVAC References'!$E$35:$L$57,MATCH(P7,'HVAC References'!$E$35:$E$57,0),6),'HVAC Inputs'!X17)-(0.052*((R7*12000)/1000)),""))</f>
        <v/>
      </c>
      <c r="H7" s="428" t="str">
        <f>IF('HVAC Inputs'!W17="","",'HVAC Inputs'!W17)</f>
        <v/>
      </c>
      <c r="I7" s="435" t="str">
        <f>IF('HVAC Inputs'!Y17="",IF(OR(D7='HVAC References'!$Z$35,D7='HVAC References'!$Z$39,D7=""),"",INDEX('HVAC References'!$Z$35:$AA$40,MATCH(D7,'HVAC References'!$Z$35:$Z$40,0),2)),'HVAC Inputs'!Y17)</f>
        <v/>
      </c>
      <c r="J7" s="436">
        <f>IF(D7='HVAC References'!$F$4,0,1)</f>
        <v>1</v>
      </c>
      <c r="K7" s="436">
        <f>IF(D7='HVAC References'!$F$4,1,0)</f>
        <v>0</v>
      </c>
      <c r="M7" s="437" t="str">
        <f>IF('HVAC Inputs'!B17="","",'HVAC Inputs'!B17)</f>
        <v/>
      </c>
      <c r="N7" s="433" t="str">
        <f>IF(M7="","",'HVAC Inputs'!C17)</f>
        <v/>
      </c>
      <c r="O7" s="433" t="str">
        <f>IF(M7="","",'HVAC Inputs'!D17)</f>
        <v/>
      </c>
      <c r="P7" s="433" t="str">
        <f t="shared" ref="P7:P30" si="15">M7&amp;" "&amp;N7&amp;" "&amp;O7</f>
        <v xml:space="preserve">  </v>
      </c>
      <c r="Q7" s="433" t="str">
        <f>IF(M7="","",'HVAC Inputs'!G17)</f>
        <v/>
      </c>
      <c r="R7" s="433" t="str">
        <f>IF(Q7="","",IF(Q7&gt;'HVAC References'!$H$188,'HVAC References'!$H$188,IF(Q7&lt;'HVAC References'!$H$187,'HVAC References'!$H$187,Q7)))</f>
        <v/>
      </c>
      <c r="S7" s="433" t="str">
        <f>IF(M7="","",'HVAC Inputs'!H17)</f>
        <v/>
      </c>
      <c r="T7" s="433" t="str">
        <f>IF(AG7="","",INDEX('HVAC References'!$B$5:$D$26,MATCH(B7,'HVAC References'!$B$5:$B$26,0),2))</f>
        <v/>
      </c>
      <c r="U7" s="433" t="str">
        <f>IF(AG7="","",INDEX('HVAC References'!$B$5:$D$26,MATCH(B7,'HVAC References'!$B$5:$B$26,0),3))</f>
        <v/>
      </c>
      <c r="V7" s="433" t="str">
        <f>IF('HVAC Inputs'!I17="","",'HVAC Inputs'!I17)</f>
        <v/>
      </c>
      <c r="W7" s="433" t="str">
        <f>IF('HVAC Inputs'!J17="","",'HVAC Inputs'!J17)</f>
        <v/>
      </c>
      <c r="X7" s="433" t="str">
        <f>IF('HVAC Inputs'!K17="","",'HVAC Inputs'!K17)</f>
        <v/>
      </c>
      <c r="Y7" s="433" t="str">
        <f>IF('HVAC Inputs'!L17="","",'HVAC Inputs'!L17)</f>
        <v/>
      </c>
      <c r="Z7" s="433" t="str">
        <f>IF(M7="","",INDEX('HVAC References'!$E$35:$P$57,MATCH(P7,'HVAC References'!$E$35:$E$57,0),10))</f>
        <v/>
      </c>
      <c r="AA7" s="433" t="str">
        <f>IF(M7="","",INDEX('HVAC References'!$E$35:$P$57,MATCH(P7,'HVAC References'!$E$35:$E$57,0),9))</f>
        <v/>
      </c>
      <c r="AB7" s="433" t="str">
        <f>IF(M7="","",INDEX('HVAC References'!$E$35:$P$57,MATCH(P7,'HVAC References'!$E$35:$E$57,0),11))</f>
        <v/>
      </c>
      <c r="AC7" s="433" t="str">
        <f t="shared" si="0"/>
        <v/>
      </c>
      <c r="AD7" s="433" t="str">
        <f t="shared" si="1"/>
        <v/>
      </c>
      <c r="AE7" s="433" t="str">
        <f t="shared" si="2"/>
        <v/>
      </c>
      <c r="AF7" s="433" t="str">
        <f t="shared" ref="AF7:AF30" si="16">IF(AND(AC7="Pass",AD7="Pass",AE7="Pass"),"PASS","FAIL")</f>
        <v>FAIL</v>
      </c>
      <c r="AG7" s="433" t="str">
        <f>IF(AF7="Fail","",INDEX('HVAC References'!$E$35:$R$57,MATCH(P7,'HVAC References'!$E$35:$E$57,0),14))</f>
        <v/>
      </c>
      <c r="AI7" s="546" t="str">
        <f>IF(M7="","",INDEX('HVAC References'!$E$35:$R$57,MATCH(P7,'HVAC References'!$E$35:$E$57,0),13))</f>
        <v/>
      </c>
      <c r="AJ7" s="437" t="str">
        <f t="shared" si="3"/>
        <v/>
      </c>
      <c r="AK7" s="433" t="str">
        <f t="shared" si="4"/>
        <v/>
      </c>
      <c r="AL7" s="433" t="str">
        <f t="shared" si="5"/>
        <v/>
      </c>
      <c r="AM7" s="433" t="str">
        <f t="shared" si="6"/>
        <v/>
      </c>
      <c r="AN7" s="433" t="str">
        <f t="shared" si="7"/>
        <v/>
      </c>
      <c r="AO7" s="433" t="str">
        <f t="shared" ref="AO7:AO30" si="17">IF(AF7="Pass",AM7-AN7,"")</f>
        <v/>
      </c>
      <c r="AP7" s="433" t="str">
        <f>IF(AF7="Pass",AM7*'HVAC References'!$H$12,"")</f>
        <v/>
      </c>
      <c r="AQ7" s="433" t="str">
        <f>IF(AF7="Pass",IF(AI7=3,IF(J7=1,0.012*(1/I7)*U7)-AN7*'HVAC References'!$H$12,0),"")</f>
        <v/>
      </c>
      <c r="AR7" s="433" t="str">
        <f t="shared" ref="AR7:AR30" si="18">IF(AF7="Pass",AP7+AQ7,"")</f>
        <v/>
      </c>
      <c r="AT7" s="437" t="e">
        <f t="shared" si="10"/>
        <v>#VALUE!</v>
      </c>
      <c r="AU7" s="433" t="e">
        <f t="shared" si="11"/>
        <v>#VALUE!</v>
      </c>
      <c r="AV7" s="433" t="e">
        <f t="shared" si="12"/>
        <v>#VALUE!</v>
      </c>
      <c r="AW7" s="433" t="e">
        <f t="shared" si="13"/>
        <v>#VALUE!</v>
      </c>
      <c r="AY7" s="571" t="str">
        <f>IF('HVAC Inputs'!P17="","",'HVAC Inputs'!P17*S7)</f>
        <v/>
      </c>
      <c r="AZ7" s="441">
        <f>IF(AF7="Pass",IF('HVAC References'!$K$12="Yes",INDEX('HVAC References'!$E$35:$X$57,MATCH(P7,'HVAC References'!$E$35:$E$57,0),20),INDEX('HVAC References'!$E$35:$X$57,MATCH(P7,'HVAC References'!$E$35:$E$57,0),12)),0)</f>
        <v>0</v>
      </c>
      <c r="BA7" s="441">
        <f t="shared" si="14"/>
        <v>0</v>
      </c>
      <c r="BB7" s="1264"/>
    </row>
    <row r="8" spans="1:54" x14ac:dyDescent="0.25">
      <c r="A8" s="429">
        <v>3</v>
      </c>
      <c r="B8" s="428" t="str">
        <f>IF(AG8="","",IF('HVAC Inputs'!$F$6="","",'HVAC Inputs'!$F$6))</f>
        <v/>
      </c>
      <c r="C8" s="428" t="str">
        <f>IF(M8="","",'HVAC Inputs'!R18)</f>
        <v/>
      </c>
      <c r="D8" s="428" t="str">
        <f>IF(M8="","",'HVAC Inputs'!S18)</f>
        <v/>
      </c>
      <c r="E8" s="428" t="str">
        <f>IF(M8="","",IF(AI8=2,"",IF('HVAC Inputs'!U18="",IF(OR(D8='HVAC References'!$F$9,D8='HVAC References'!$F$4),INDEX('HVAC References'!$E$35:$N$57,MATCH(P8,'HVAC References'!$E$35:$E$57,0),5),INDEX('HVAC References'!$E$35:$N$57,MATCH(P8,'HVAC References'!$E$35:$E$57,0),4)),'HVAC Inputs'!U18)))</f>
        <v/>
      </c>
      <c r="F8" s="437" t="str">
        <f>IF(M8="","",IF(OR(AI8=2,AI8=3),IF('HVAC Inputs'!V18="",IF(OR(D8='HVAC References'!$F$9,D8='HVAC References'!$F$4),INDEX('HVAC References'!$E$35:$N$57,MATCH(P8,'HVAC References'!$E$35:$E$57,0),3),INDEX('HVAC References'!$E$35:$N$57,MATCH(P8,'HVAC References'!$E$35:$E$57,0),2)),'HVAC Inputs'!V18)-(0.3*((R8*12000)/1000)),IF('HVAC Inputs'!V18="",IF(OR(D8='HVAC References'!$F$9,D8='HVAC References'!$F$4),INDEX('HVAC References'!$E$35:$N$57,MATCH(P8,'HVAC References'!$E$35:$E$57,0),3),INDEX('HVAC References'!$E$35:$N$57,MATCH(P8,'HVAC References'!$E$35:$E$57,0),2)),'HVAC Inputs'!V18)))</f>
        <v/>
      </c>
      <c r="G8" s="428" t="str">
        <f>IF(M8="","",IF(AI8=3,IF('HVAC Inputs'!X18="",INDEX('HVAC References'!$E$35:$L$57,MATCH(P8,'HVAC References'!$E$35:$E$57,0),6),'HVAC Inputs'!X18)-(0.052*((R8*12000)/1000)),""))</f>
        <v/>
      </c>
      <c r="H8" s="428" t="str">
        <f>IF('HVAC Inputs'!W18="","",'HVAC Inputs'!W18)</f>
        <v/>
      </c>
      <c r="I8" s="435" t="str">
        <f>IF('HVAC Inputs'!Y18="",IF(OR(D8='HVAC References'!$Z$35,D8='HVAC References'!$Z$39,D8=""),"",INDEX('HVAC References'!$Z$35:$AA$40,MATCH(D8,'HVAC References'!$Z$35:$Z$40,0),2)),'HVAC Inputs'!Y18)</f>
        <v/>
      </c>
      <c r="J8" s="436">
        <f>IF(D8='HVAC References'!$F$4,0,1)</f>
        <v>1</v>
      </c>
      <c r="K8" s="436">
        <f>IF(D8='HVAC References'!$F$4,1,0)</f>
        <v>0</v>
      </c>
      <c r="M8" s="437" t="str">
        <f>IF('HVAC Inputs'!B18="","",'HVAC Inputs'!B18)</f>
        <v/>
      </c>
      <c r="N8" s="433" t="str">
        <f>IF(M8="","",'HVAC Inputs'!C18)</f>
        <v/>
      </c>
      <c r="O8" s="433" t="str">
        <f>IF(M8="","",'HVAC Inputs'!D18)</f>
        <v/>
      </c>
      <c r="P8" s="433" t="str">
        <f t="shared" si="15"/>
        <v xml:space="preserve">  </v>
      </c>
      <c r="Q8" s="433" t="str">
        <f>IF(M8="","",'HVAC Inputs'!G18)</f>
        <v/>
      </c>
      <c r="R8" s="433" t="str">
        <f>IF(Q8="","",IF(Q8&gt;'HVAC References'!$H$188,'HVAC References'!$H$188,IF(Q8&lt;'HVAC References'!$H$187,'HVAC References'!$H$187,Q8)))</f>
        <v/>
      </c>
      <c r="S8" s="433" t="str">
        <f>IF(M8="","",'HVAC Inputs'!H18)</f>
        <v/>
      </c>
      <c r="T8" s="433" t="str">
        <f>IF(AG8="","",INDEX('HVAC References'!$B$5:$D$26,MATCH(B8,'HVAC References'!$B$5:$B$26,0),2))</f>
        <v/>
      </c>
      <c r="U8" s="433" t="str">
        <f>IF(AG8="","",INDEX('HVAC References'!$B$5:$D$26,MATCH(B8,'HVAC References'!$B$5:$B$26,0),3))</f>
        <v/>
      </c>
      <c r="V8" s="433" t="str">
        <f>IF('HVAC Inputs'!I18="","",'HVAC Inputs'!I18)</f>
        <v/>
      </c>
      <c r="W8" s="433" t="str">
        <f>IF('HVAC Inputs'!J18="","",'HVAC Inputs'!J18)</f>
        <v/>
      </c>
      <c r="X8" s="433" t="str">
        <f>IF('HVAC Inputs'!K18="","",'HVAC Inputs'!K18)</f>
        <v/>
      </c>
      <c r="Y8" s="433" t="str">
        <f>IF('HVAC Inputs'!L18="","",'HVAC Inputs'!L18)</f>
        <v/>
      </c>
      <c r="Z8" s="433" t="str">
        <f>IF(M8="","",INDEX('HVAC References'!$E$35:$P$57,MATCH(P8,'HVAC References'!$E$35:$E$57,0),10))</f>
        <v/>
      </c>
      <c r="AA8" s="433" t="str">
        <f>IF(M8="","",INDEX('HVAC References'!$E$35:$P$57,MATCH(P8,'HVAC References'!$E$35:$E$57,0),9))</f>
        <v/>
      </c>
      <c r="AB8" s="433" t="str">
        <f>IF(M8="","",INDEX('HVAC References'!$E$35:$P$57,MATCH(P8,'HVAC References'!$E$35:$E$57,0),11))</f>
        <v/>
      </c>
      <c r="AC8" s="433" t="str">
        <f t="shared" si="0"/>
        <v/>
      </c>
      <c r="AD8" s="433" t="str">
        <f t="shared" si="1"/>
        <v/>
      </c>
      <c r="AE8" s="433" t="str">
        <f t="shared" si="2"/>
        <v/>
      </c>
      <c r="AF8" s="433" t="str">
        <f t="shared" si="16"/>
        <v>FAIL</v>
      </c>
      <c r="AG8" s="433" t="str">
        <f>IF(AF8="Fail","",INDEX('HVAC References'!$E$35:$R$57,MATCH(P8,'HVAC References'!$E$35:$E$57,0),14))</f>
        <v/>
      </c>
      <c r="AI8" s="546" t="str">
        <f>IF(M8="","",INDEX('HVAC References'!$E$35:$R$57,MATCH(P8,'HVAC References'!$E$35:$E$57,0),13))</f>
        <v/>
      </c>
      <c r="AJ8" s="437" t="str">
        <f t="shared" si="3"/>
        <v/>
      </c>
      <c r="AK8" s="433" t="str">
        <f t="shared" si="4"/>
        <v/>
      </c>
      <c r="AL8" s="433" t="str">
        <f t="shared" si="5"/>
        <v/>
      </c>
      <c r="AM8" s="433" t="str">
        <f t="shared" si="6"/>
        <v/>
      </c>
      <c r="AN8" s="433" t="str">
        <f t="shared" si="7"/>
        <v/>
      </c>
      <c r="AO8" s="433" t="str">
        <f t="shared" si="17"/>
        <v/>
      </c>
      <c r="AP8" s="433" t="str">
        <f>IF(AF8="Pass",AM8*'HVAC References'!$H$12,"")</f>
        <v/>
      </c>
      <c r="AQ8" s="433" t="str">
        <f>IF(AF8="Pass",IF(AI8=3,IF(J8=1,0.012*(1/I8)*U8)-AN8*'HVAC References'!$H$12,0),"")</f>
        <v/>
      </c>
      <c r="AR8" s="433" t="str">
        <f t="shared" si="18"/>
        <v/>
      </c>
      <c r="AT8" s="437" t="e">
        <f t="shared" si="10"/>
        <v>#VALUE!</v>
      </c>
      <c r="AU8" s="433" t="e">
        <f t="shared" si="11"/>
        <v>#VALUE!</v>
      </c>
      <c r="AV8" s="433" t="e">
        <f t="shared" si="12"/>
        <v>#VALUE!</v>
      </c>
      <c r="AW8" s="433" t="e">
        <f t="shared" si="13"/>
        <v>#VALUE!</v>
      </c>
      <c r="AY8" s="571" t="str">
        <f>IF('HVAC Inputs'!P18="","",'HVAC Inputs'!P18*S8)</f>
        <v/>
      </c>
      <c r="AZ8" s="441">
        <f>IF(AF8="Pass",IF('HVAC References'!$K$12="Yes",INDEX('HVAC References'!$E$35:$X$57,MATCH(P8,'HVAC References'!$E$35:$E$57,0),20),INDEX('HVAC References'!$E$35:$X$57,MATCH(P8,'HVAC References'!$E$35:$E$57,0),12)),0)</f>
        <v>0</v>
      </c>
      <c r="BA8" s="441">
        <f t="shared" si="14"/>
        <v>0</v>
      </c>
      <c r="BB8" s="1264"/>
    </row>
    <row r="9" spans="1:54" x14ac:dyDescent="0.25">
      <c r="A9" s="429">
        <v>4</v>
      </c>
      <c r="B9" s="428" t="str">
        <f>IF(AG9="","",IF('HVAC Inputs'!$F$6="","",'HVAC Inputs'!$F$6))</f>
        <v/>
      </c>
      <c r="C9" s="428" t="str">
        <f>IF(M9="","",'HVAC Inputs'!R19)</f>
        <v/>
      </c>
      <c r="D9" s="428" t="str">
        <f>IF(M9="","",'HVAC Inputs'!S19)</f>
        <v/>
      </c>
      <c r="E9" s="428" t="str">
        <f>IF(M9="","",IF(AI9=2,"",IF('HVAC Inputs'!U19="",IF(OR(D9='HVAC References'!$F$9,D9='HVAC References'!$F$4),INDEX('HVAC References'!$E$35:$N$57,MATCH(P9,'HVAC References'!$E$35:$E$57,0),5),INDEX('HVAC References'!$E$35:$N$57,MATCH(P9,'HVAC References'!$E$35:$E$57,0),4)),'HVAC Inputs'!U19)))</f>
        <v/>
      </c>
      <c r="F9" s="437" t="str">
        <f>IF(M9="","",IF(OR(AI9=2,AI9=3),IF('HVAC Inputs'!V19="",IF(OR(D9='HVAC References'!$F$9,D9='HVAC References'!$F$4),INDEX('HVAC References'!$E$35:$N$57,MATCH(P9,'HVAC References'!$E$35:$E$57,0),3),INDEX('HVAC References'!$E$35:$N$57,MATCH(P9,'HVAC References'!$E$35:$E$57,0),2)),'HVAC Inputs'!V19)-(0.3*((R9*12000)/1000)),IF('HVAC Inputs'!V19="",IF(OR(D9='HVAC References'!$F$9,D9='HVAC References'!$F$4),INDEX('HVAC References'!$E$35:$N$57,MATCH(P9,'HVAC References'!$E$35:$E$57,0),3),INDEX('HVAC References'!$E$35:$N$57,MATCH(P9,'HVAC References'!$E$35:$E$57,0),2)),'HVAC Inputs'!V19)))</f>
        <v/>
      </c>
      <c r="G9" s="428" t="str">
        <f>IF(M9="","",IF(AI9=3,IF('HVAC Inputs'!X19="",INDEX('HVAC References'!$E$35:$L$57,MATCH(P9,'HVAC References'!$E$35:$E$57,0),6),'HVAC Inputs'!X19)-(0.052*((R9*12000)/1000)),""))</f>
        <v/>
      </c>
      <c r="H9" s="428" t="str">
        <f>IF('HVAC Inputs'!W19="","",'HVAC Inputs'!W19)</f>
        <v/>
      </c>
      <c r="I9" s="435" t="str">
        <f>IF('HVAC Inputs'!Y19="",IF(OR(D9='HVAC References'!$Z$35,D9='HVAC References'!$Z$39,D9=""),"",INDEX('HVAC References'!$Z$35:$AA$40,MATCH(D9,'HVAC References'!$Z$35:$Z$40,0),2)),'HVAC Inputs'!Y19)</f>
        <v/>
      </c>
      <c r="J9" s="436">
        <f>IF(D9='HVAC References'!$F$4,0,1)</f>
        <v>1</v>
      </c>
      <c r="K9" s="436">
        <f>IF(D9='HVAC References'!$F$4,1,0)</f>
        <v>0</v>
      </c>
      <c r="M9" s="437" t="str">
        <f>IF('HVAC Inputs'!B19="","",'HVAC Inputs'!B19)</f>
        <v/>
      </c>
      <c r="N9" s="433" t="str">
        <f>IF(M9="","",'HVAC Inputs'!C19)</f>
        <v/>
      </c>
      <c r="O9" s="433" t="str">
        <f>IF(M9="","",'HVAC Inputs'!D19)</f>
        <v/>
      </c>
      <c r="P9" s="433" t="str">
        <f t="shared" si="15"/>
        <v xml:space="preserve">  </v>
      </c>
      <c r="Q9" s="433" t="str">
        <f>IF(M9="","",'HVAC Inputs'!G19)</f>
        <v/>
      </c>
      <c r="R9" s="433" t="str">
        <f>IF(Q9="","",IF(Q9&gt;'HVAC References'!$H$188,'HVAC References'!$H$188,IF(Q9&lt;'HVAC References'!$H$187,'HVAC References'!$H$187,Q9)))</f>
        <v/>
      </c>
      <c r="S9" s="433" t="str">
        <f>IF(M9="","",'HVAC Inputs'!H19)</f>
        <v/>
      </c>
      <c r="T9" s="433" t="str">
        <f>IF(AG9="","",INDEX('HVAC References'!$B$5:$D$26,MATCH(B9,'HVAC References'!$B$5:$B$26,0),2))</f>
        <v/>
      </c>
      <c r="U9" s="433" t="str">
        <f>IF(AG9="","",INDEX('HVAC References'!$B$5:$D$26,MATCH(B9,'HVAC References'!$B$5:$B$26,0),3))</f>
        <v/>
      </c>
      <c r="V9" s="433" t="str">
        <f>IF('HVAC Inputs'!I19="","",'HVAC Inputs'!I19)</f>
        <v/>
      </c>
      <c r="W9" s="433" t="str">
        <f>IF('HVAC Inputs'!J19="","",'HVAC Inputs'!J19)</f>
        <v/>
      </c>
      <c r="X9" s="433" t="str">
        <f>IF('HVAC Inputs'!K19="","",'HVAC Inputs'!K19)</f>
        <v/>
      </c>
      <c r="Y9" s="433" t="str">
        <f>IF('HVAC Inputs'!L19="","",'HVAC Inputs'!L19)</f>
        <v/>
      </c>
      <c r="Z9" s="433" t="str">
        <f>IF(M9="","",INDEX('HVAC References'!$E$35:$P$57,MATCH(P9,'HVAC References'!$E$35:$E$57,0),10))</f>
        <v/>
      </c>
      <c r="AA9" s="433" t="str">
        <f>IF(M9="","",INDEX('HVAC References'!$E$35:$P$57,MATCH(P9,'HVAC References'!$E$35:$E$57,0),9))</f>
        <v/>
      </c>
      <c r="AB9" s="433" t="str">
        <f>IF(M9="","",INDEX('HVAC References'!$E$35:$P$57,MATCH(P9,'HVAC References'!$E$35:$E$57,0),11))</f>
        <v/>
      </c>
      <c r="AC9" s="433" t="str">
        <f t="shared" si="0"/>
        <v/>
      </c>
      <c r="AD9" s="433" t="str">
        <f t="shared" si="1"/>
        <v/>
      </c>
      <c r="AE9" s="433" t="str">
        <f t="shared" si="2"/>
        <v/>
      </c>
      <c r="AF9" s="433" t="str">
        <f t="shared" si="16"/>
        <v>FAIL</v>
      </c>
      <c r="AG9" s="433" t="str">
        <f>IF(AF9="Fail","",INDEX('HVAC References'!$E$35:$R$57,MATCH(P9,'HVAC References'!$E$35:$E$57,0),14))</f>
        <v/>
      </c>
      <c r="AI9" s="546" t="str">
        <f>IF(M9="","",INDEX('HVAC References'!$E$35:$R$57,MATCH(P9,'HVAC References'!$E$35:$E$57,0),13))</f>
        <v/>
      </c>
      <c r="AJ9" s="437" t="str">
        <f t="shared" si="3"/>
        <v/>
      </c>
      <c r="AK9" s="433" t="str">
        <f t="shared" si="4"/>
        <v/>
      </c>
      <c r="AL9" s="433" t="str">
        <f t="shared" si="5"/>
        <v/>
      </c>
      <c r="AM9" s="433" t="str">
        <f t="shared" si="6"/>
        <v/>
      </c>
      <c r="AN9" s="433" t="str">
        <f t="shared" si="7"/>
        <v/>
      </c>
      <c r="AO9" s="433" t="str">
        <f t="shared" si="17"/>
        <v/>
      </c>
      <c r="AP9" s="433" t="str">
        <f>IF(AF9="Pass",AM9*'HVAC References'!$H$12,"")</f>
        <v/>
      </c>
      <c r="AQ9" s="433" t="str">
        <f>IF(AF9="Pass",IF(AI9=3,IF(J9=1,0.012*(1/I9)*U9)-AN9*'HVAC References'!$H$12,0),"")</f>
        <v/>
      </c>
      <c r="AR9" s="433" t="str">
        <f t="shared" si="18"/>
        <v/>
      </c>
      <c r="AT9" s="437" t="e">
        <f t="shared" si="10"/>
        <v>#VALUE!</v>
      </c>
      <c r="AU9" s="433" t="e">
        <f t="shared" si="11"/>
        <v>#VALUE!</v>
      </c>
      <c r="AV9" s="433" t="e">
        <f t="shared" si="12"/>
        <v>#VALUE!</v>
      </c>
      <c r="AW9" s="433" t="e">
        <f t="shared" si="13"/>
        <v>#VALUE!</v>
      </c>
      <c r="AY9" s="571" t="str">
        <f>IF('HVAC Inputs'!P19="","",'HVAC Inputs'!P19*S9)</f>
        <v/>
      </c>
      <c r="AZ9" s="441">
        <f>IF(AF9="Pass",IF('HVAC References'!$K$12="Yes",INDEX('HVAC References'!$E$35:$X$57,MATCH(P9,'HVAC References'!$E$35:$E$57,0),20),INDEX('HVAC References'!$E$35:$X$57,MATCH(P9,'HVAC References'!$E$35:$E$57,0),12)),0)</f>
        <v>0</v>
      </c>
      <c r="BA9" s="441">
        <f t="shared" si="14"/>
        <v>0</v>
      </c>
      <c r="BB9" s="1264"/>
    </row>
    <row r="10" spans="1:54" x14ac:dyDescent="0.25">
      <c r="A10" s="429">
        <v>5</v>
      </c>
      <c r="B10" s="428" t="str">
        <f>IF(AG10="","",IF('HVAC Inputs'!$F$6="","",'HVAC Inputs'!$F$6))</f>
        <v/>
      </c>
      <c r="C10" s="428" t="str">
        <f>IF(M10="","",'HVAC Inputs'!R20)</f>
        <v/>
      </c>
      <c r="D10" s="428" t="str">
        <f>IF(M10="","",'HVAC Inputs'!S20)</f>
        <v/>
      </c>
      <c r="E10" s="428" t="str">
        <f>IF(M10="","",IF(AI10=2,"",IF('HVAC Inputs'!U20="",IF(OR(D10='HVAC References'!$F$9,D10='HVAC References'!$F$4),INDEX('HVAC References'!$E$35:$N$57,MATCH(P10,'HVAC References'!$E$35:$E$57,0),5),INDEX('HVAC References'!$E$35:$N$57,MATCH(P10,'HVAC References'!$E$35:$E$57,0),4)),'HVAC Inputs'!U20)))</f>
        <v/>
      </c>
      <c r="F10" s="437" t="str">
        <f>IF(M10="","",IF(OR(AI10=2,AI10=3),IF('HVAC Inputs'!V20="",IF(OR(D10='HVAC References'!$F$9,D10='HVAC References'!$F$4),INDEX('HVAC References'!$E$35:$N$57,MATCH(P10,'HVAC References'!$E$35:$E$57,0),3),INDEX('HVAC References'!$E$35:$N$57,MATCH(P10,'HVAC References'!$E$35:$E$57,0),2)),'HVAC Inputs'!V20)-(0.3*((R10*12000)/1000)),IF('HVAC Inputs'!V20="",IF(OR(D10='HVAC References'!$F$9,D10='HVAC References'!$F$4),INDEX('HVAC References'!$E$35:$N$57,MATCH(P10,'HVAC References'!$E$35:$E$57,0),3),INDEX('HVAC References'!$E$35:$N$57,MATCH(P10,'HVAC References'!$E$35:$E$57,0),2)),'HVAC Inputs'!V20)))</f>
        <v/>
      </c>
      <c r="G10" s="428" t="str">
        <f>IF(M10="","",IF(AI10=3,IF('HVAC Inputs'!X20="",INDEX('HVAC References'!$E$35:$L$57,MATCH(P10,'HVAC References'!$E$35:$E$57,0),6),'HVAC Inputs'!X20)-(0.052*((R10*12000)/1000)),""))</f>
        <v/>
      </c>
      <c r="H10" s="428" t="str">
        <f>IF('HVAC Inputs'!W20="","",'HVAC Inputs'!W20)</f>
        <v/>
      </c>
      <c r="I10" s="435" t="str">
        <f>IF('HVAC Inputs'!Y20="",IF(OR(D10='HVAC References'!$Z$35,D10='HVAC References'!$Z$39,D10=""),"",INDEX('HVAC References'!$Z$35:$AA$40,MATCH(D10,'HVAC References'!$Z$35:$Z$40,0),2)),'HVAC Inputs'!Y20)</f>
        <v/>
      </c>
      <c r="J10" s="436">
        <f>IF(D10='HVAC References'!$F$4,0,1)</f>
        <v>1</v>
      </c>
      <c r="K10" s="436">
        <f>IF(D10='HVAC References'!$F$4,1,0)</f>
        <v>0</v>
      </c>
      <c r="M10" s="437" t="str">
        <f>IF('HVAC Inputs'!B20="","",'HVAC Inputs'!B20)</f>
        <v/>
      </c>
      <c r="N10" s="433" t="str">
        <f>IF(M10="","",'HVAC Inputs'!C20)</f>
        <v/>
      </c>
      <c r="O10" s="433" t="str">
        <f>IF(M10="","",'HVAC Inputs'!D20)</f>
        <v/>
      </c>
      <c r="P10" s="433" t="str">
        <f t="shared" si="15"/>
        <v xml:space="preserve">  </v>
      </c>
      <c r="Q10" s="433" t="str">
        <f>IF(M10="","",'HVAC Inputs'!G20)</f>
        <v/>
      </c>
      <c r="R10" s="433" t="str">
        <f>IF(Q10="","",IF(Q10&gt;'HVAC References'!$H$188,'HVAC References'!$H$188,IF(Q10&lt;'HVAC References'!$H$187,'HVAC References'!$H$187,Q10)))</f>
        <v/>
      </c>
      <c r="S10" s="433" t="str">
        <f>IF(M10="","",'HVAC Inputs'!H20)</f>
        <v/>
      </c>
      <c r="T10" s="433" t="str">
        <f>IF(AG10="","",INDEX('HVAC References'!$B$5:$D$26,MATCH(B10,'HVAC References'!$B$5:$B$26,0),2))</f>
        <v/>
      </c>
      <c r="U10" s="433" t="str">
        <f>IF(AG10="","",INDEX('HVAC References'!$B$5:$D$26,MATCH(B10,'HVAC References'!$B$5:$B$26,0),3))</f>
        <v/>
      </c>
      <c r="V10" s="433" t="str">
        <f>IF('HVAC Inputs'!I20="","",'HVAC Inputs'!I20)</f>
        <v/>
      </c>
      <c r="W10" s="433" t="str">
        <f>IF('HVAC Inputs'!J20="","",'HVAC Inputs'!J20)</f>
        <v/>
      </c>
      <c r="X10" s="433" t="str">
        <f>IF('HVAC Inputs'!K20="","",'HVAC Inputs'!K20)</f>
        <v/>
      </c>
      <c r="Y10" s="433" t="str">
        <f>IF('HVAC Inputs'!L20="","",'HVAC Inputs'!L20)</f>
        <v/>
      </c>
      <c r="Z10" s="433" t="str">
        <f>IF(M10="","",INDEX('HVAC References'!$E$35:$P$57,MATCH(P10,'HVAC References'!$E$35:$E$57,0),10))</f>
        <v/>
      </c>
      <c r="AA10" s="433" t="str">
        <f>IF(M10="","",INDEX('HVAC References'!$E$35:$P$57,MATCH(P10,'HVAC References'!$E$35:$E$57,0),9))</f>
        <v/>
      </c>
      <c r="AB10" s="433" t="str">
        <f>IF(M10="","",INDEX('HVAC References'!$E$35:$P$57,MATCH(P10,'HVAC References'!$E$35:$E$57,0),11))</f>
        <v/>
      </c>
      <c r="AC10" s="433" t="str">
        <f t="shared" si="0"/>
        <v/>
      </c>
      <c r="AD10" s="433" t="str">
        <f t="shared" si="1"/>
        <v/>
      </c>
      <c r="AE10" s="433" t="str">
        <f t="shared" si="2"/>
        <v/>
      </c>
      <c r="AF10" s="433" t="str">
        <f t="shared" si="16"/>
        <v>FAIL</v>
      </c>
      <c r="AG10" s="433" t="str">
        <f>IF(AF10="Fail","",INDEX('HVAC References'!$E$35:$R$57,MATCH(P10,'HVAC References'!$E$35:$E$57,0),14))</f>
        <v/>
      </c>
      <c r="AI10" s="546" t="str">
        <f>IF(M10="","",INDEX('HVAC References'!$E$35:$R$57,MATCH(P10,'HVAC References'!$E$35:$E$57,0),13))</f>
        <v/>
      </c>
      <c r="AJ10" s="437" t="str">
        <f t="shared" si="3"/>
        <v/>
      </c>
      <c r="AK10" s="433" t="str">
        <f t="shared" si="4"/>
        <v/>
      </c>
      <c r="AL10" s="433" t="str">
        <f t="shared" si="5"/>
        <v/>
      </c>
      <c r="AM10" s="433" t="str">
        <f t="shared" si="6"/>
        <v/>
      </c>
      <c r="AN10" s="433" t="str">
        <f t="shared" si="7"/>
        <v/>
      </c>
      <c r="AO10" s="433" t="str">
        <f t="shared" si="17"/>
        <v/>
      </c>
      <c r="AP10" s="433" t="str">
        <f>IF(AF10="Pass",AM10*'HVAC References'!$H$12,"")</f>
        <v/>
      </c>
      <c r="AQ10" s="433" t="str">
        <f>IF(AF10="Pass",IF(AI10=3,IF(J10=1,0.012*(1/I10)*U10)-AN10*'HVAC References'!$H$12,0),"")</f>
        <v/>
      </c>
      <c r="AR10" s="433" t="str">
        <f t="shared" si="18"/>
        <v/>
      </c>
      <c r="AT10" s="437" t="e">
        <f t="shared" si="10"/>
        <v>#VALUE!</v>
      </c>
      <c r="AU10" s="433" t="e">
        <f t="shared" si="11"/>
        <v>#VALUE!</v>
      </c>
      <c r="AV10" s="433" t="e">
        <f t="shared" si="12"/>
        <v>#VALUE!</v>
      </c>
      <c r="AW10" s="433" t="e">
        <f t="shared" si="13"/>
        <v>#VALUE!</v>
      </c>
      <c r="AY10" s="571" t="str">
        <f>IF('HVAC Inputs'!P20="","",'HVAC Inputs'!P20*S10)</f>
        <v/>
      </c>
      <c r="AZ10" s="441">
        <f>IF(AF10="Pass",IF('HVAC References'!$K$12="Yes",INDEX('HVAC References'!$E$35:$X$57,MATCH(P10,'HVAC References'!$E$35:$E$57,0),20),INDEX('HVAC References'!$E$35:$X$57,MATCH(P10,'HVAC References'!$E$35:$E$57,0),12)),0)</f>
        <v>0</v>
      </c>
      <c r="BA10" s="441">
        <f t="shared" si="14"/>
        <v>0</v>
      </c>
      <c r="BB10" s="1264"/>
    </row>
    <row r="11" spans="1:54" x14ac:dyDescent="0.25">
      <c r="A11" s="429">
        <v>6</v>
      </c>
      <c r="B11" s="428" t="str">
        <f>IF(AG11="","",IF('HVAC Inputs'!$F$6="","",'HVAC Inputs'!$F$6))</f>
        <v/>
      </c>
      <c r="C11" s="428" t="str">
        <f>IF(M11="","",'HVAC Inputs'!R21)</f>
        <v/>
      </c>
      <c r="D11" s="428" t="str">
        <f>IF(M11="","",'HVAC Inputs'!S21)</f>
        <v/>
      </c>
      <c r="E11" s="428" t="str">
        <f>IF(M11="","",IF(AI11=2,"",IF('HVAC Inputs'!U21="",IF(OR(D11='HVAC References'!$F$9,D11='HVAC References'!$F$4),INDEX('HVAC References'!$E$35:$N$57,MATCH(P11,'HVAC References'!$E$35:$E$57,0),5),INDEX('HVAC References'!$E$35:$N$57,MATCH(P11,'HVAC References'!$E$35:$E$57,0),4)),'HVAC Inputs'!U21)))</f>
        <v/>
      </c>
      <c r="F11" s="437" t="str">
        <f>IF(M11="","",IF(OR(AI11=2,AI11=3),IF('HVAC Inputs'!V21="",IF(OR(D11='HVAC References'!$F$9,D11='HVAC References'!$F$4),INDEX('HVAC References'!$E$35:$N$57,MATCH(P11,'HVAC References'!$E$35:$E$57,0),3),INDEX('HVAC References'!$E$35:$N$57,MATCH(P11,'HVAC References'!$E$35:$E$57,0),2)),'HVAC Inputs'!V21)-(0.3*((R11*12000)/1000)),IF('HVAC Inputs'!V21="",IF(OR(D11='HVAC References'!$F$9,D11='HVAC References'!$F$4),INDEX('HVAC References'!$E$35:$N$57,MATCH(P11,'HVAC References'!$E$35:$E$57,0),3),INDEX('HVAC References'!$E$35:$N$57,MATCH(P11,'HVAC References'!$E$35:$E$57,0),2)),'HVAC Inputs'!V21)))</f>
        <v/>
      </c>
      <c r="G11" s="428" t="str">
        <f>IF(M11="","",IF(AI11=3,IF('HVAC Inputs'!X21="",INDEX('HVAC References'!$E$35:$L$57,MATCH(P11,'HVAC References'!$E$35:$E$57,0),6),'HVAC Inputs'!X21)-(0.052*((R11*12000)/1000)),""))</f>
        <v/>
      </c>
      <c r="H11" s="428" t="str">
        <f>IF('HVAC Inputs'!W21="","",'HVAC Inputs'!W21)</f>
        <v/>
      </c>
      <c r="I11" s="435" t="str">
        <f>IF('HVAC Inputs'!Y21="",IF(OR(D11='HVAC References'!$Z$35,D11='HVAC References'!$Z$39,D11=""),"",INDEX('HVAC References'!$Z$35:$AA$40,MATCH(D11,'HVAC References'!$Z$35:$Z$40,0),2)),'HVAC Inputs'!Y21)</f>
        <v/>
      </c>
      <c r="J11" s="436">
        <f>IF(D11='HVAC References'!$F$4,0,1)</f>
        <v>1</v>
      </c>
      <c r="K11" s="436">
        <f>IF(D11='HVAC References'!$F$4,1,0)</f>
        <v>0</v>
      </c>
      <c r="M11" s="437" t="str">
        <f>IF('HVAC Inputs'!B21="","",'HVAC Inputs'!B21)</f>
        <v/>
      </c>
      <c r="N11" s="433" t="str">
        <f>IF(M11="","",'HVAC Inputs'!C21)</f>
        <v/>
      </c>
      <c r="O11" s="433" t="str">
        <f>IF(M11="","",'HVAC Inputs'!D21)</f>
        <v/>
      </c>
      <c r="P11" s="433" t="str">
        <f t="shared" si="15"/>
        <v xml:space="preserve">  </v>
      </c>
      <c r="Q11" s="433" t="str">
        <f>IF(M11="","",'HVAC Inputs'!G21)</f>
        <v/>
      </c>
      <c r="R11" s="433" t="str">
        <f>IF(Q11="","",IF(Q11&gt;'HVAC References'!$H$188,'HVAC References'!$H$188,IF(Q11&lt;'HVAC References'!$H$187,'HVAC References'!$H$187,Q11)))</f>
        <v/>
      </c>
      <c r="S11" s="433" t="str">
        <f>IF(M11="","",'HVAC Inputs'!H21)</f>
        <v/>
      </c>
      <c r="T11" s="433" t="str">
        <f>IF(AG11="","",INDEX('HVAC References'!$B$5:$D$26,MATCH(B11,'HVAC References'!$B$5:$B$26,0),2))</f>
        <v/>
      </c>
      <c r="U11" s="433" t="str">
        <f>IF(AG11="","",INDEX('HVAC References'!$B$5:$D$26,MATCH(B11,'HVAC References'!$B$5:$B$26,0),3))</f>
        <v/>
      </c>
      <c r="V11" s="433" t="str">
        <f>IF('HVAC Inputs'!I21="","",'HVAC Inputs'!I21)</f>
        <v/>
      </c>
      <c r="W11" s="433" t="str">
        <f>IF('HVAC Inputs'!J21="","",'HVAC Inputs'!J21)</f>
        <v/>
      </c>
      <c r="X11" s="433" t="str">
        <f>IF('HVAC Inputs'!K21="","",'HVAC Inputs'!K21)</f>
        <v/>
      </c>
      <c r="Y11" s="433" t="str">
        <f>IF('HVAC Inputs'!L21="","",'HVAC Inputs'!L21)</f>
        <v/>
      </c>
      <c r="Z11" s="433" t="str">
        <f>IF(M11="","",INDEX('HVAC References'!$E$35:$P$57,MATCH(P11,'HVAC References'!$E$35:$E$57,0),10))</f>
        <v/>
      </c>
      <c r="AA11" s="433" t="str">
        <f>IF(M11="","",INDEX('HVAC References'!$E$35:$P$57,MATCH(P11,'HVAC References'!$E$35:$E$57,0),9))</f>
        <v/>
      </c>
      <c r="AB11" s="433" t="str">
        <f>IF(M11="","",INDEX('HVAC References'!$E$35:$P$57,MATCH(P11,'HVAC References'!$E$35:$E$57,0),11))</f>
        <v/>
      </c>
      <c r="AC11" s="433" t="str">
        <f t="shared" si="0"/>
        <v/>
      </c>
      <c r="AD11" s="433" t="str">
        <f t="shared" si="1"/>
        <v/>
      </c>
      <c r="AE11" s="433" t="str">
        <f t="shared" si="2"/>
        <v/>
      </c>
      <c r="AF11" s="433" t="str">
        <f t="shared" si="16"/>
        <v>FAIL</v>
      </c>
      <c r="AG11" s="433" t="str">
        <f>IF(AF11="Fail","",INDEX('HVAC References'!$E$35:$R$57,MATCH(P11,'HVAC References'!$E$35:$E$57,0),14))</f>
        <v/>
      </c>
      <c r="AI11" s="546" t="str">
        <f>IF(M11="","",INDEX('HVAC References'!$E$35:$R$57,MATCH(P11,'HVAC References'!$E$35:$E$57,0),13))</f>
        <v/>
      </c>
      <c r="AJ11" s="437" t="str">
        <f t="shared" si="3"/>
        <v/>
      </c>
      <c r="AK11" s="433" t="str">
        <f t="shared" si="4"/>
        <v/>
      </c>
      <c r="AL11" s="433" t="str">
        <f t="shared" si="5"/>
        <v/>
      </c>
      <c r="AM11" s="433" t="str">
        <f t="shared" si="6"/>
        <v/>
      </c>
      <c r="AN11" s="433" t="str">
        <f t="shared" si="7"/>
        <v/>
      </c>
      <c r="AO11" s="433" t="str">
        <f t="shared" si="17"/>
        <v/>
      </c>
      <c r="AP11" s="433" t="str">
        <f>IF(AF11="Pass",AM11*'HVAC References'!$H$12,"")</f>
        <v/>
      </c>
      <c r="AQ11" s="433" t="str">
        <f>IF(AF11="Pass",IF(AI11=3,IF(J11=1,0.012*(1/I11)*U11)-AN11*'HVAC References'!$H$12,0),"")</f>
        <v/>
      </c>
      <c r="AR11" s="433" t="str">
        <f t="shared" si="18"/>
        <v/>
      </c>
      <c r="AT11" s="437" t="e">
        <f t="shared" si="10"/>
        <v>#VALUE!</v>
      </c>
      <c r="AU11" s="433" t="e">
        <f t="shared" si="11"/>
        <v>#VALUE!</v>
      </c>
      <c r="AV11" s="433" t="e">
        <f t="shared" si="12"/>
        <v>#VALUE!</v>
      </c>
      <c r="AW11" s="433" t="e">
        <f t="shared" si="13"/>
        <v>#VALUE!</v>
      </c>
      <c r="AY11" s="571" t="str">
        <f>IF('HVAC Inputs'!P21="","",'HVAC Inputs'!P21*S11)</f>
        <v/>
      </c>
      <c r="AZ11" s="441">
        <f>IF(AF11="Pass",IF('HVAC References'!$K$12="Yes",INDEX('HVAC References'!$E$35:$X$57,MATCH(P11,'HVAC References'!$E$35:$E$57,0),20),INDEX('HVAC References'!$E$35:$X$57,MATCH(P11,'HVAC References'!$E$35:$E$57,0),12)),0)</f>
        <v>0</v>
      </c>
      <c r="BA11" s="441">
        <f t="shared" si="14"/>
        <v>0</v>
      </c>
      <c r="BB11" s="1264"/>
    </row>
    <row r="12" spans="1:54" x14ac:dyDescent="0.25">
      <c r="A12" s="429">
        <v>7</v>
      </c>
      <c r="B12" s="428" t="str">
        <f>IF(AG12="","",IF('HVAC Inputs'!$F$6="","",'HVAC Inputs'!$F$6))</f>
        <v/>
      </c>
      <c r="C12" s="428" t="str">
        <f>IF(M12="","",'HVAC Inputs'!R22)</f>
        <v/>
      </c>
      <c r="D12" s="428" t="str">
        <f>IF(M12="","",'HVAC Inputs'!S22)</f>
        <v/>
      </c>
      <c r="E12" s="428" t="str">
        <f>IF(M12="","",IF(AI12=2,"",IF('HVAC Inputs'!U22="",IF(OR(D12='HVAC References'!$F$9,D12='HVAC References'!$F$4),INDEX('HVAC References'!$E$35:$N$57,MATCH(P12,'HVAC References'!$E$35:$E$57,0),5),INDEX('HVAC References'!$E$35:$N$57,MATCH(P12,'HVAC References'!$E$35:$E$57,0),4)),'HVAC Inputs'!U22)))</f>
        <v/>
      </c>
      <c r="F12" s="437" t="str">
        <f>IF(M12="","",IF(OR(AI12=2,AI12=3),IF('HVAC Inputs'!V22="",IF(OR(D12='HVAC References'!$F$9,D12='HVAC References'!$F$4),INDEX('HVAC References'!$E$35:$N$57,MATCH(P12,'HVAC References'!$E$35:$E$57,0),3),INDEX('HVAC References'!$E$35:$N$57,MATCH(P12,'HVAC References'!$E$35:$E$57,0),2)),'HVAC Inputs'!V22)-(0.3*((R12*12000)/1000)),IF('HVAC Inputs'!V22="",IF(OR(D12='HVAC References'!$F$9,D12='HVAC References'!$F$4),INDEX('HVAC References'!$E$35:$N$57,MATCH(P12,'HVAC References'!$E$35:$E$57,0),3),INDEX('HVAC References'!$E$35:$N$57,MATCH(P12,'HVAC References'!$E$35:$E$57,0),2)),'HVAC Inputs'!V22)))</f>
        <v/>
      </c>
      <c r="G12" s="428" t="str">
        <f>IF(M12="","",IF(AI12=3,IF('HVAC Inputs'!X22="",INDEX('HVAC References'!$E$35:$L$57,MATCH(P12,'HVAC References'!$E$35:$E$57,0),6),'HVAC Inputs'!X22)-(0.052*((R12*12000)/1000)),""))</f>
        <v/>
      </c>
      <c r="H12" s="428" t="str">
        <f>IF('HVAC Inputs'!W22="","",'HVAC Inputs'!W22)</f>
        <v/>
      </c>
      <c r="I12" s="435" t="str">
        <f>IF('HVAC Inputs'!Y22="",IF(OR(D12='HVAC References'!$Z$35,D12='HVAC References'!$Z$39,D12=""),"",INDEX('HVAC References'!$Z$35:$AA$40,MATCH(D12,'HVAC References'!$Z$35:$Z$40,0),2)),'HVAC Inputs'!Y22)</f>
        <v/>
      </c>
      <c r="J12" s="436">
        <f>IF(D12='HVAC References'!$F$4,0,1)</f>
        <v>1</v>
      </c>
      <c r="K12" s="436">
        <f>IF(D12='HVAC References'!$F$4,1,0)</f>
        <v>0</v>
      </c>
      <c r="M12" s="437" t="str">
        <f>IF('HVAC Inputs'!B22="","",'HVAC Inputs'!B22)</f>
        <v/>
      </c>
      <c r="N12" s="433" t="str">
        <f>IF(M12="","",'HVAC Inputs'!C22)</f>
        <v/>
      </c>
      <c r="O12" s="433" t="str">
        <f>IF(M12="","",'HVAC Inputs'!D22)</f>
        <v/>
      </c>
      <c r="P12" s="433" t="str">
        <f t="shared" si="15"/>
        <v xml:space="preserve">  </v>
      </c>
      <c r="Q12" s="433" t="str">
        <f>IF(M12="","",'HVAC Inputs'!G22)</f>
        <v/>
      </c>
      <c r="R12" s="433" t="str">
        <f>IF(Q12="","",IF(Q12&gt;'HVAC References'!$H$188,'HVAC References'!$H$188,IF(Q12&lt;'HVAC References'!$H$187,'HVAC References'!$H$187,Q12)))</f>
        <v/>
      </c>
      <c r="S12" s="433" t="str">
        <f>IF(M12="","",'HVAC Inputs'!H22)</f>
        <v/>
      </c>
      <c r="T12" s="433" t="str">
        <f>IF(AG12="","",INDEX('HVAC References'!$B$5:$D$26,MATCH(B12,'HVAC References'!$B$5:$B$26,0),2))</f>
        <v/>
      </c>
      <c r="U12" s="433" t="str">
        <f>IF(AG12="","",INDEX('HVAC References'!$B$5:$D$26,MATCH(B12,'HVAC References'!$B$5:$B$26,0),3))</f>
        <v/>
      </c>
      <c r="V12" s="433" t="str">
        <f>IF('HVAC Inputs'!I22="","",'HVAC Inputs'!I22)</f>
        <v/>
      </c>
      <c r="W12" s="433" t="str">
        <f>IF('HVAC Inputs'!J22="","",'HVAC Inputs'!J22)</f>
        <v/>
      </c>
      <c r="X12" s="433" t="str">
        <f>IF('HVAC Inputs'!K22="","",'HVAC Inputs'!K22)</f>
        <v/>
      </c>
      <c r="Y12" s="433" t="str">
        <f>IF('HVAC Inputs'!L22="","",'HVAC Inputs'!L22)</f>
        <v/>
      </c>
      <c r="Z12" s="433" t="str">
        <f>IF(M12="","",INDEX('HVAC References'!$E$35:$P$57,MATCH(P12,'HVAC References'!$E$35:$E$57,0),10))</f>
        <v/>
      </c>
      <c r="AA12" s="433" t="str">
        <f>IF(M12="","",INDEX('HVAC References'!$E$35:$P$57,MATCH(P12,'HVAC References'!$E$35:$E$57,0),9))</f>
        <v/>
      </c>
      <c r="AB12" s="433" t="str">
        <f>IF(M12="","",INDEX('HVAC References'!$E$35:$P$57,MATCH(P12,'HVAC References'!$E$35:$E$57,0),11))</f>
        <v/>
      </c>
      <c r="AC12" s="433" t="str">
        <f t="shared" si="0"/>
        <v/>
      </c>
      <c r="AD12" s="433" t="str">
        <f t="shared" si="1"/>
        <v/>
      </c>
      <c r="AE12" s="433" t="str">
        <f t="shared" si="2"/>
        <v/>
      </c>
      <c r="AF12" s="433" t="str">
        <f t="shared" si="16"/>
        <v>FAIL</v>
      </c>
      <c r="AG12" s="433" t="str">
        <f>IF(AF12="Fail","",INDEX('HVAC References'!$E$35:$R$57,MATCH(P12,'HVAC References'!$E$35:$E$57,0),14))</f>
        <v/>
      </c>
      <c r="AI12" s="546" t="str">
        <f>IF(M12="","",INDEX('HVAC References'!$E$35:$R$57,MATCH(P12,'HVAC References'!$E$35:$E$57,0),13))</f>
        <v/>
      </c>
      <c r="AJ12" s="437" t="str">
        <f t="shared" si="3"/>
        <v/>
      </c>
      <c r="AK12" s="433" t="str">
        <f t="shared" si="4"/>
        <v/>
      </c>
      <c r="AL12" s="433" t="str">
        <f t="shared" si="5"/>
        <v/>
      </c>
      <c r="AM12" s="433" t="str">
        <f t="shared" si="6"/>
        <v/>
      </c>
      <c r="AN12" s="433" t="str">
        <f t="shared" si="7"/>
        <v/>
      </c>
      <c r="AO12" s="433" t="str">
        <f t="shared" si="17"/>
        <v/>
      </c>
      <c r="AP12" s="433" t="str">
        <f>IF(AF12="Pass",AM12*'HVAC References'!$H$12,"")</f>
        <v/>
      </c>
      <c r="AQ12" s="433" t="str">
        <f>IF(AF12="Pass",IF(AI12=3,IF(J12=1,0.012*(1/I12)*U12)-AN12*'HVAC References'!$H$12,0),"")</f>
        <v/>
      </c>
      <c r="AR12" s="433" t="str">
        <f t="shared" si="18"/>
        <v/>
      </c>
      <c r="AT12" s="437" t="e">
        <f t="shared" si="10"/>
        <v>#VALUE!</v>
      </c>
      <c r="AU12" s="433" t="e">
        <f t="shared" si="11"/>
        <v>#VALUE!</v>
      </c>
      <c r="AV12" s="433" t="e">
        <f t="shared" si="12"/>
        <v>#VALUE!</v>
      </c>
      <c r="AW12" s="433" t="e">
        <f t="shared" si="13"/>
        <v>#VALUE!</v>
      </c>
      <c r="AY12" s="571" t="str">
        <f>IF('HVAC Inputs'!P22="","",'HVAC Inputs'!P22*S12)</f>
        <v/>
      </c>
      <c r="AZ12" s="441">
        <f>IF(AF12="Pass",IF('HVAC References'!$K$12="Yes",INDEX('HVAC References'!$E$35:$X$57,MATCH(P12,'HVAC References'!$E$35:$E$57,0),20),INDEX('HVAC References'!$E$35:$X$57,MATCH(P12,'HVAC References'!$E$35:$E$57,0),12)),0)</f>
        <v>0</v>
      </c>
      <c r="BA12" s="441">
        <f t="shared" si="14"/>
        <v>0</v>
      </c>
      <c r="BB12" s="1264"/>
    </row>
    <row r="13" spans="1:54" x14ac:dyDescent="0.25">
      <c r="A13" s="429">
        <v>8</v>
      </c>
      <c r="B13" s="428" t="str">
        <f>IF(AG13="","",IF('HVAC Inputs'!$F$6="","",'HVAC Inputs'!$F$6))</f>
        <v/>
      </c>
      <c r="C13" s="428" t="str">
        <f>IF(M13="","",'HVAC Inputs'!R23)</f>
        <v/>
      </c>
      <c r="D13" s="428" t="str">
        <f>IF(M13="","",'HVAC Inputs'!S23)</f>
        <v/>
      </c>
      <c r="E13" s="428" t="str">
        <f>IF(M13="","",IF(AI13=2,"",IF('HVAC Inputs'!U23="",IF(OR(D13='HVAC References'!$F$9,D13='HVAC References'!$F$4),INDEX('HVAC References'!$E$35:$N$57,MATCH(P13,'HVAC References'!$E$35:$E$57,0),5),INDEX('HVAC References'!$E$35:$N$57,MATCH(P13,'HVAC References'!$E$35:$E$57,0),4)),'HVAC Inputs'!U23)))</f>
        <v/>
      </c>
      <c r="F13" s="437" t="str">
        <f>IF(M13="","",IF(OR(AI13=2,AI13=3),IF('HVAC Inputs'!V23="",IF(OR(D13='HVAC References'!$F$9,D13='HVAC References'!$F$4),INDEX('HVAC References'!$E$35:$N$57,MATCH(P13,'HVAC References'!$E$35:$E$57,0),3),INDEX('HVAC References'!$E$35:$N$57,MATCH(P13,'HVAC References'!$E$35:$E$57,0),2)),'HVAC Inputs'!V23)-(0.3*((R13*12000)/1000)),IF('HVAC Inputs'!V23="",IF(OR(D13='HVAC References'!$F$9,D13='HVAC References'!$F$4),INDEX('HVAC References'!$E$35:$N$57,MATCH(P13,'HVAC References'!$E$35:$E$57,0),3),INDEX('HVAC References'!$E$35:$N$57,MATCH(P13,'HVAC References'!$E$35:$E$57,0),2)),'HVAC Inputs'!V23)))</f>
        <v/>
      </c>
      <c r="G13" s="428" t="str">
        <f>IF(M13="","",IF(AI13=3,IF('HVAC Inputs'!X23="",INDEX('HVAC References'!$E$35:$L$57,MATCH(P13,'HVAC References'!$E$35:$E$57,0),6),'HVAC Inputs'!X23)-(0.052*((R13*12000)/1000)),""))</f>
        <v/>
      </c>
      <c r="H13" s="428" t="str">
        <f>IF('HVAC Inputs'!W23="","",'HVAC Inputs'!W23)</f>
        <v/>
      </c>
      <c r="I13" s="435" t="str">
        <f>IF('HVAC Inputs'!Y23="",IF(OR(D13='HVAC References'!$Z$35,D13='HVAC References'!$Z$39,D13=""),"",INDEX('HVAC References'!$Z$35:$AA$40,MATCH(D13,'HVAC References'!$Z$35:$Z$40,0),2)),'HVAC Inputs'!Y23)</f>
        <v/>
      </c>
      <c r="J13" s="436">
        <f>IF(D13='HVAC References'!$F$4,0,1)</f>
        <v>1</v>
      </c>
      <c r="K13" s="436">
        <f>IF(D13='HVAC References'!$F$4,1,0)</f>
        <v>0</v>
      </c>
      <c r="M13" s="437" t="str">
        <f>IF('HVAC Inputs'!B23="","",'HVAC Inputs'!B23)</f>
        <v/>
      </c>
      <c r="N13" s="433" t="str">
        <f>IF(M13="","",'HVAC Inputs'!C23)</f>
        <v/>
      </c>
      <c r="O13" s="433" t="str">
        <f>IF(M13="","",'HVAC Inputs'!D23)</f>
        <v/>
      </c>
      <c r="P13" s="433" t="str">
        <f t="shared" si="15"/>
        <v xml:space="preserve">  </v>
      </c>
      <c r="Q13" s="433" t="str">
        <f>IF(M13="","",'HVAC Inputs'!G23)</f>
        <v/>
      </c>
      <c r="R13" s="433" t="str">
        <f>IF(Q13="","",IF(Q13&gt;'HVAC References'!$H$188,'HVAC References'!$H$188,IF(Q13&lt;'HVAC References'!$H$187,'HVAC References'!$H$187,Q13)))</f>
        <v/>
      </c>
      <c r="S13" s="433" t="str">
        <f>IF(M13="","",'HVAC Inputs'!H23)</f>
        <v/>
      </c>
      <c r="T13" s="433" t="str">
        <f>IF(AG13="","",INDEX('HVAC References'!$B$5:$D$26,MATCH(B13,'HVAC References'!$B$5:$B$26,0),2))</f>
        <v/>
      </c>
      <c r="U13" s="433" t="str">
        <f>IF(AG13="","",INDEX('HVAC References'!$B$5:$D$26,MATCH(B13,'HVAC References'!$B$5:$B$26,0),3))</f>
        <v/>
      </c>
      <c r="V13" s="433" t="str">
        <f>IF('HVAC Inputs'!I23="","",'HVAC Inputs'!I23)</f>
        <v/>
      </c>
      <c r="W13" s="433" t="str">
        <f>IF('HVAC Inputs'!J23="","",'HVAC Inputs'!J23)</f>
        <v/>
      </c>
      <c r="X13" s="433" t="str">
        <f>IF('HVAC Inputs'!K23="","",'HVAC Inputs'!K23)</f>
        <v/>
      </c>
      <c r="Y13" s="433" t="str">
        <f>IF('HVAC Inputs'!L23="","",'HVAC Inputs'!L23)</f>
        <v/>
      </c>
      <c r="Z13" s="433" t="str">
        <f>IF(M13="","",INDEX('HVAC References'!$E$35:$P$57,MATCH(P13,'HVAC References'!$E$35:$E$57,0),10))</f>
        <v/>
      </c>
      <c r="AA13" s="433" t="str">
        <f>IF(M13="","",INDEX('HVAC References'!$E$35:$P$57,MATCH(P13,'HVAC References'!$E$35:$E$57,0),9))</f>
        <v/>
      </c>
      <c r="AB13" s="433" t="str">
        <f>IF(M13="","",INDEX('HVAC References'!$E$35:$P$57,MATCH(P13,'HVAC References'!$E$35:$E$57,0),11))</f>
        <v/>
      </c>
      <c r="AC13" s="433" t="str">
        <f t="shared" si="0"/>
        <v/>
      </c>
      <c r="AD13" s="433" t="str">
        <f t="shared" si="1"/>
        <v/>
      </c>
      <c r="AE13" s="433" t="str">
        <f t="shared" si="2"/>
        <v/>
      </c>
      <c r="AF13" s="433" t="str">
        <f t="shared" si="16"/>
        <v>FAIL</v>
      </c>
      <c r="AG13" s="433" t="str">
        <f>IF(AF13="Fail","",INDEX('HVAC References'!$E$35:$R$57,MATCH(P13,'HVAC References'!$E$35:$E$57,0),14))</f>
        <v/>
      </c>
      <c r="AI13" s="546" t="str">
        <f>IF(M13="","",INDEX('HVAC References'!$E$35:$R$57,MATCH(P13,'HVAC References'!$E$35:$E$57,0),13))</f>
        <v/>
      </c>
      <c r="AJ13" s="437" t="str">
        <f t="shared" si="3"/>
        <v/>
      </c>
      <c r="AK13" s="433" t="str">
        <f t="shared" si="4"/>
        <v/>
      </c>
      <c r="AL13" s="433" t="str">
        <f t="shared" si="5"/>
        <v/>
      </c>
      <c r="AM13" s="433" t="str">
        <f t="shared" si="6"/>
        <v/>
      </c>
      <c r="AN13" s="433" t="str">
        <f t="shared" si="7"/>
        <v/>
      </c>
      <c r="AO13" s="433" t="str">
        <f t="shared" si="17"/>
        <v/>
      </c>
      <c r="AP13" s="433" t="str">
        <f>IF(AF13="Pass",AM13*'HVAC References'!$H$12,"")</f>
        <v/>
      </c>
      <c r="AQ13" s="433" t="str">
        <f>IF(AF13="Pass",IF(AI13=3,IF(J13=1,0.012*(1/I13)*U13)-AN13*'HVAC References'!$H$12,0),"")</f>
        <v/>
      </c>
      <c r="AR13" s="433" t="str">
        <f t="shared" si="18"/>
        <v/>
      </c>
      <c r="AT13" s="437" t="e">
        <f t="shared" si="10"/>
        <v>#VALUE!</v>
      </c>
      <c r="AU13" s="433" t="e">
        <f t="shared" si="11"/>
        <v>#VALUE!</v>
      </c>
      <c r="AV13" s="433" t="e">
        <f t="shared" si="12"/>
        <v>#VALUE!</v>
      </c>
      <c r="AW13" s="433" t="e">
        <f t="shared" si="13"/>
        <v>#VALUE!</v>
      </c>
      <c r="AY13" s="571" t="str">
        <f>IF('HVAC Inputs'!P23="","",'HVAC Inputs'!P23*S13)</f>
        <v/>
      </c>
      <c r="AZ13" s="441">
        <f>IF(AF13="Pass",IF('HVAC References'!$K$12="Yes",INDEX('HVAC References'!$E$35:$X$57,MATCH(P13,'HVAC References'!$E$35:$E$57,0),20),INDEX('HVAC References'!$E$35:$X$57,MATCH(P13,'HVAC References'!$E$35:$E$57,0),12)),0)</f>
        <v>0</v>
      </c>
      <c r="BA13" s="441">
        <f t="shared" si="14"/>
        <v>0</v>
      </c>
      <c r="BB13" s="1264"/>
    </row>
    <row r="14" spans="1:54" x14ac:dyDescent="0.25">
      <c r="A14" s="429">
        <v>9</v>
      </c>
      <c r="B14" s="428" t="str">
        <f>IF(AG14="","",IF('HVAC Inputs'!$F$6="","",'HVAC Inputs'!$F$6))</f>
        <v/>
      </c>
      <c r="C14" s="428" t="str">
        <f>IF(M14="","",'HVAC Inputs'!R24)</f>
        <v/>
      </c>
      <c r="D14" s="428" t="str">
        <f>IF(M14="","",'HVAC Inputs'!S24)</f>
        <v/>
      </c>
      <c r="E14" s="428" t="str">
        <f>IF(M14="","",IF(AI14=2,"",IF('HVAC Inputs'!U24="",IF(OR(D14='HVAC References'!$F$9,D14='HVAC References'!$F$4),INDEX('HVAC References'!$E$35:$N$57,MATCH(P14,'HVAC References'!$E$35:$E$57,0),5),INDEX('HVAC References'!$E$35:$N$57,MATCH(P14,'HVAC References'!$E$35:$E$57,0),4)),'HVAC Inputs'!U24)))</f>
        <v/>
      </c>
      <c r="F14" s="437" t="str">
        <f>IF(M14="","",IF(OR(AI14=2,AI14=3),IF('HVAC Inputs'!V24="",IF(OR(D14='HVAC References'!$F$9,D14='HVAC References'!$F$4),INDEX('HVAC References'!$E$35:$N$57,MATCH(P14,'HVAC References'!$E$35:$E$57,0),3),INDEX('HVAC References'!$E$35:$N$57,MATCH(P14,'HVAC References'!$E$35:$E$57,0),2)),'HVAC Inputs'!V24)-(0.3*((R14*12000)/1000)),IF('HVAC Inputs'!V24="",IF(OR(D14='HVAC References'!$F$9,D14='HVAC References'!$F$4),INDEX('HVAC References'!$E$35:$N$57,MATCH(P14,'HVAC References'!$E$35:$E$57,0),3),INDEX('HVAC References'!$E$35:$N$57,MATCH(P14,'HVAC References'!$E$35:$E$57,0),2)),'HVAC Inputs'!V24)))</f>
        <v/>
      </c>
      <c r="G14" s="428" t="str">
        <f>IF(M14="","",IF(AI14=3,IF('HVAC Inputs'!X24="",INDEX('HVAC References'!$E$35:$L$57,MATCH(P14,'HVAC References'!$E$35:$E$57,0),6),'HVAC Inputs'!X24)-(0.052*((R14*12000)/1000)),""))</f>
        <v/>
      </c>
      <c r="H14" s="428" t="str">
        <f>IF('HVAC Inputs'!W24="","",'HVAC Inputs'!W24)</f>
        <v/>
      </c>
      <c r="I14" s="435" t="str">
        <f>IF('HVAC Inputs'!Y24="",IF(OR(D14='HVAC References'!$Z$35,D14='HVAC References'!$Z$39,D14=""),"",INDEX('HVAC References'!$Z$35:$AA$40,MATCH(D14,'HVAC References'!$Z$35:$Z$40,0),2)),'HVAC Inputs'!Y24)</f>
        <v/>
      </c>
      <c r="J14" s="436">
        <f>IF(D14='HVAC References'!$F$4,0,1)</f>
        <v>1</v>
      </c>
      <c r="K14" s="436">
        <f>IF(D14='HVAC References'!$F$4,1,0)</f>
        <v>0</v>
      </c>
      <c r="M14" s="437" t="str">
        <f>IF('HVAC Inputs'!B24="","",'HVAC Inputs'!B24)</f>
        <v/>
      </c>
      <c r="N14" s="433" t="str">
        <f>IF(M14="","",'HVAC Inputs'!C24)</f>
        <v/>
      </c>
      <c r="O14" s="433" t="str">
        <f>IF(M14="","",'HVAC Inputs'!D24)</f>
        <v/>
      </c>
      <c r="P14" s="433" t="str">
        <f t="shared" si="15"/>
        <v xml:space="preserve">  </v>
      </c>
      <c r="Q14" s="433" t="str">
        <f>IF(M14="","",'HVAC Inputs'!G24)</f>
        <v/>
      </c>
      <c r="R14" s="433" t="str">
        <f>IF(Q14="","",IF(Q14&gt;'HVAC References'!$H$188,'HVAC References'!$H$188,IF(Q14&lt;'HVAC References'!$H$187,'HVAC References'!$H$187,Q14)))</f>
        <v/>
      </c>
      <c r="S14" s="433" t="str">
        <f>IF(M14="","",'HVAC Inputs'!H24)</f>
        <v/>
      </c>
      <c r="T14" s="433" t="str">
        <f>IF(AG14="","",INDEX('HVAC References'!$B$5:$D$26,MATCH(B14,'HVAC References'!$B$5:$B$26,0),2))</f>
        <v/>
      </c>
      <c r="U14" s="433" t="str">
        <f>IF(AG14="","",INDEX('HVAC References'!$B$5:$D$26,MATCH(B14,'HVAC References'!$B$5:$B$26,0),3))</f>
        <v/>
      </c>
      <c r="V14" s="433" t="str">
        <f>IF('HVAC Inputs'!I24="","",'HVAC Inputs'!I24)</f>
        <v/>
      </c>
      <c r="W14" s="433" t="str">
        <f>IF('HVAC Inputs'!J24="","",'HVAC Inputs'!J24)</f>
        <v/>
      </c>
      <c r="X14" s="433" t="str">
        <f>IF('HVAC Inputs'!K24="","",'HVAC Inputs'!K24)</f>
        <v/>
      </c>
      <c r="Y14" s="433" t="str">
        <f>IF('HVAC Inputs'!L24="","",'HVAC Inputs'!L24)</f>
        <v/>
      </c>
      <c r="Z14" s="433" t="str">
        <f>IF(M14="","",INDEX('HVAC References'!$E$35:$P$57,MATCH(P14,'HVAC References'!$E$35:$E$57,0),10))</f>
        <v/>
      </c>
      <c r="AA14" s="433" t="str">
        <f>IF(M14="","",INDEX('HVAC References'!$E$35:$P$57,MATCH(P14,'HVAC References'!$E$35:$E$57,0),9))</f>
        <v/>
      </c>
      <c r="AB14" s="433" t="str">
        <f>IF(M14="","",INDEX('HVAC References'!$E$35:$P$57,MATCH(P14,'HVAC References'!$E$35:$E$57,0),11))</f>
        <v/>
      </c>
      <c r="AC14" s="433" t="str">
        <f t="shared" si="0"/>
        <v/>
      </c>
      <c r="AD14" s="433" t="str">
        <f t="shared" si="1"/>
        <v/>
      </c>
      <c r="AE14" s="433" t="str">
        <f t="shared" si="2"/>
        <v/>
      </c>
      <c r="AF14" s="433" t="str">
        <f t="shared" si="16"/>
        <v>FAIL</v>
      </c>
      <c r="AG14" s="433" t="str">
        <f>IF(AF14="Fail","",INDEX('HVAC References'!$E$35:$R$57,MATCH(P14,'HVAC References'!$E$35:$E$57,0),14))</f>
        <v/>
      </c>
      <c r="AI14" s="546" t="str">
        <f>IF(M14="","",INDEX('HVAC References'!$E$35:$R$57,MATCH(P14,'HVAC References'!$E$35:$E$57,0),13))</f>
        <v/>
      </c>
      <c r="AJ14" s="437" t="str">
        <f t="shared" si="3"/>
        <v/>
      </c>
      <c r="AK14" s="433" t="str">
        <f t="shared" si="4"/>
        <v/>
      </c>
      <c r="AL14" s="433" t="str">
        <f t="shared" si="5"/>
        <v/>
      </c>
      <c r="AM14" s="433" t="str">
        <f t="shared" si="6"/>
        <v/>
      </c>
      <c r="AN14" s="433" t="str">
        <f t="shared" si="7"/>
        <v/>
      </c>
      <c r="AO14" s="433" t="str">
        <f t="shared" si="17"/>
        <v/>
      </c>
      <c r="AP14" s="433" t="str">
        <f>IF(AF14="Pass",AM14*'HVAC References'!$H$12,"")</f>
        <v/>
      </c>
      <c r="AQ14" s="433" t="str">
        <f>IF(AF14="Pass",IF(AI14=3,IF(J14=1,0.012*(1/I14)*U14)-AN14*'HVAC References'!$H$12,0),"")</f>
        <v/>
      </c>
      <c r="AR14" s="433" t="str">
        <f t="shared" si="18"/>
        <v/>
      </c>
      <c r="AT14" s="437" t="e">
        <f t="shared" si="10"/>
        <v>#VALUE!</v>
      </c>
      <c r="AU14" s="433" t="e">
        <f t="shared" si="11"/>
        <v>#VALUE!</v>
      </c>
      <c r="AV14" s="433" t="e">
        <f t="shared" si="12"/>
        <v>#VALUE!</v>
      </c>
      <c r="AW14" s="433" t="e">
        <f t="shared" si="13"/>
        <v>#VALUE!</v>
      </c>
      <c r="AY14" s="571" t="str">
        <f>IF('HVAC Inputs'!P24="","",'HVAC Inputs'!P24*S14)</f>
        <v/>
      </c>
      <c r="AZ14" s="441">
        <f>IF(AF14="Pass",IF('HVAC References'!$K$12="Yes",INDEX('HVAC References'!$E$35:$X$57,MATCH(P14,'HVAC References'!$E$35:$E$57,0),20),INDEX('HVAC References'!$E$35:$X$57,MATCH(P14,'HVAC References'!$E$35:$E$57,0),12)),0)</f>
        <v>0</v>
      </c>
      <c r="BA14" s="441">
        <f t="shared" si="14"/>
        <v>0</v>
      </c>
      <c r="BB14" s="1264"/>
    </row>
    <row r="15" spans="1:54" x14ac:dyDescent="0.25">
      <c r="A15" s="429">
        <v>10</v>
      </c>
      <c r="B15" s="428" t="str">
        <f>IF(AG15="","",IF('HVAC Inputs'!$F$6="","",'HVAC Inputs'!$F$6))</f>
        <v/>
      </c>
      <c r="C15" s="428" t="str">
        <f>IF(M15="","",'HVAC Inputs'!R25)</f>
        <v/>
      </c>
      <c r="D15" s="428" t="str">
        <f>IF(M15="","",'HVAC Inputs'!S25)</f>
        <v/>
      </c>
      <c r="E15" s="428" t="str">
        <f>IF(M15="","",IF(AI15=2,"",IF('HVAC Inputs'!U25="",IF(OR(D15='HVAC References'!$F$9,D15='HVAC References'!$F$4),INDEX('HVAC References'!$E$35:$N$57,MATCH(P15,'HVAC References'!$E$35:$E$57,0),5),INDEX('HVAC References'!$E$35:$N$57,MATCH(P15,'HVAC References'!$E$35:$E$57,0),4)),'HVAC Inputs'!U25)))</f>
        <v/>
      </c>
      <c r="F15" s="437" t="str">
        <f>IF(M15="","",IF(OR(AI15=2,AI15=3),IF('HVAC Inputs'!V25="",IF(OR(D15='HVAC References'!$F$9,D15='HVAC References'!$F$4),INDEX('HVAC References'!$E$35:$N$57,MATCH(P15,'HVAC References'!$E$35:$E$57,0),3),INDEX('HVAC References'!$E$35:$N$57,MATCH(P15,'HVAC References'!$E$35:$E$57,0),2)),'HVAC Inputs'!V25)-(0.3*((R15*12000)/1000)),IF('HVAC Inputs'!V25="",IF(OR(D15='HVAC References'!$F$9,D15='HVAC References'!$F$4),INDEX('HVAC References'!$E$35:$N$57,MATCH(P15,'HVAC References'!$E$35:$E$57,0),3),INDEX('HVAC References'!$E$35:$N$57,MATCH(P15,'HVAC References'!$E$35:$E$57,0),2)),'HVAC Inputs'!V25)))</f>
        <v/>
      </c>
      <c r="G15" s="428" t="str">
        <f>IF(M15="","",IF(AI15=3,IF('HVAC Inputs'!X25="",INDEX('HVAC References'!$E$35:$L$57,MATCH(P15,'HVAC References'!$E$35:$E$57,0),6),'HVAC Inputs'!X25)-(0.052*((R15*12000)/1000)),""))</f>
        <v/>
      </c>
      <c r="H15" s="428" t="str">
        <f>IF('HVAC Inputs'!W25="","",'HVAC Inputs'!W25)</f>
        <v/>
      </c>
      <c r="I15" s="435" t="str">
        <f>IF('HVAC Inputs'!Y25="",IF(OR(D15='HVAC References'!$Z$35,D15='HVAC References'!$Z$39,D15=""),"",INDEX('HVAC References'!$Z$35:$AA$40,MATCH(D15,'HVAC References'!$Z$35:$Z$40,0),2)),'HVAC Inputs'!Y25)</f>
        <v/>
      </c>
      <c r="J15" s="436">
        <f>IF(D15='HVAC References'!$F$4,0,1)</f>
        <v>1</v>
      </c>
      <c r="K15" s="436">
        <f>IF(D15='HVAC References'!$F$4,1,0)</f>
        <v>0</v>
      </c>
      <c r="M15" s="437" t="str">
        <f>IF('HVAC Inputs'!B25="","",'HVAC Inputs'!B25)</f>
        <v/>
      </c>
      <c r="N15" s="433" t="str">
        <f>IF(M15="","",'HVAC Inputs'!C25)</f>
        <v/>
      </c>
      <c r="O15" s="433" t="str">
        <f>IF(M15="","",'HVAC Inputs'!D25)</f>
        <v/>
      </c>
      <c r="P15" s="433" t="str">
        <f t="shared" si="15"/>
        <v xml:space="preserve">  </v>
      </c>
      <c r="Q15" s="433" t="str">
        <f>IF(M15="","",'HVAC Inputs'!G25)</f>
        <v/>
      </c>
      <c r="R15" s="433" t="str">
        <f>IF(Q15="","",IF(Q15&gt;'HVAC References'!$H$188,'HVAC References'!$H$188,IF(Q15&lt;'HVAC References'!$H$187,'HVAC References'!$H$187,Q15)))</f>
        <v/>
      </c>
      <c r="S15" s="433" t="str">
        <f>IF(M15="","",'HVAC Inputs'!H25)</f>
        <v/>
      </c>
      <c r="T15" s="433" t="str">
        <f>IF(AG15="","",INDEX('HVAC References'!$B$5:$D$26,MATCH(B15,'HVAC References'!$B$5:$B$26,0),2))</f>
        <v/>
      </c>
      <c r="U15" s="433" t="str">
        <f>IF(AG15="","",INDEX('HVAC References'!$B$5:$D$26,MATCH(B15,'HVAC References'!$B$5:$B$26,0),3))</f>
        <v/>
      </c>
      <c r="V15" s="433" t="str">
        <f>IF('HVAC Inputs'!I25="","",'HVAC Inputs'!I25)</f>
        <v/>
      </c>
      <c r="W15" s="433" t="str">
        <f>IF('HVAC Inputs'!J25="","",'HVAC Inputs'!J25)</f>
        <v/>
      </c>
      <c r="X15" s="433" t="str">
        <f>IF('HVAC Inputs'!K25="","",'HVAC Inputs'!K25)</f>
        <v/>
      </c>
      <c r="Y15" s="433" t="str">
        <f>IF('HVAC Inputs'!L25="","",'HVAC Inputs'!L25)</f>
        <v/>
      </c>
      <c r="Z15" s="433" t="str">
        <f>IF(M15="","",INDEX('HVAC References'!$E$35:$P$57,MATCH(P15,'HVAC References'!$E$35:$E$57,0),10))</f>
        <v/>
      </c>
      <c r="AA15" s="433" t="str">
        <f>IF(M15="","",INDEX('HVAC References'!$E$35:$P$57,MATCH(P15,'HVAC References'!$E$35:$E$57,0),9))</f>
        <v/>
      </c>
      <c r="AB15" s="433" t="str">
        <f>IF(M15="","",INDEX('HVAC References'!$E$35:$P$57,MATCH(P15,'HVAC References'!$E$35:$E$57,0),11))</f>
        <v/>
      </c>
      <c r="AC15" s="433" t="str">
        <f t="shared" si="0"/>
        <v/>
      </c>
      <c r="AD15" s="433" t="str">
        <f t="shared" si="1"/>
        <v/>
      </c>
      <c r="AE15" s="433" t="str">
        <f t="shared" si="2"/>
        <v/>
      </c>
      <c r="AF15" s="433" t="str">
        <f t="shared" si="16"/>
        <v>FAIL</v>
      </c>
      <c r="AG15" s="433" t="str">
        <f>IF(AF15="Fail","",INDEX('HVAC References'!$E$35:$R$57,MATCH(P15,'HVAC References'!$E$35:$E$57,0),14))</f>
        <v/>
      </c>
      <c r="AI15" s="546" t="str">
        <f>IF(M15="","",INDEX('HVAC References'!$E$35:$R$57,MATCH(P15,'HVAC References'!$E$35:$E$57,0),13))</f>
        <v/>
      </c>
      <c r="AJ15" s="437" t="str">
        <f t="shared" si="3"/>
        <v/>
      </c>
      <c r="AK15" s="433" t="str">
        <f t="shared" si="4"/>
        <v/>
      </c>
      <c r="AL15" s="433" t="str">
        <f t="shared" si="5"/>
        <v/>
      </c>
      <c r="AM15" s="433" t="str">
        <f t="shared" si="6"/>
        <v/>
      </c>
      <c r="AN15" s="433" t="str">
        <f t="shared" si="7"/>
        <v/>
      </c>
      <c r="AO15" s="433" t="str">
        <f t="shared" si="17"/>
        <v/>
      </c>
      <c r="AP15" s="433" t="str">
        <f>IF(AF15="Pass",AM15*'HVAC References'!$H$12,"")</f>
        <v/>
      </c>
      <c r="AQ15" s="433" t="str">
        <f>IF(AF15="Pass",IF(AI15=3,IF(J15=1,0.012*(1/I15)*U15)-AN15*'HVAC References'!$H$12,0),"")</f>
        <v/>
      </c>
      <c r="AR15" s="433" t="str">
        <f t="shared" si="18"/>
        <v/>
      </c>
      <c r="AT15" s="437" t="e">
        <f t="shared" si="10"/>
        <v>#VALUE!</v>
      </c>
      <c r="AU15" s="433" t="e">
        <f t="shared" si="11"/>
        <v>#VALUE!</v>
      </c>
      <c r="AV15" s="433" t="e">
        <f t="shared" si="12"/>
        <v>#VALUE!</v>
      </c>
      <c r="AW15" s="433" t="e">
        <f t="shared" si="13"/>
        <v>#VALUE!</v>
      </c>
      <c r="AY15" s="571" t="str">
        <f>IF('HVAC Inputs'!P25="","",'HVAC Inputs'!P25*S15)</f>
        <v/>
      </c>
      <c r="AZ15" s="441">
        <f>IF(AF15="Pass",IF('HVAC References'!$K$12="Yes",INDEX('HVAC References'!$E$35:$X$57,MATCH(P15,'HVAC References'!$E$35:$E$57,0),20),INDEX('HVAC References'!$E$35:$X$57,MATCH(P15,'HVAC References'!$E$35:$E$57,0),12)),0)</f>
        <v>0</v>
      </c>
      <c r="BA15" s="441">
        <f t="shared" si="14"/>
        <v>0</v>
      </c>
      <c r="BB15" s="1264"/>
    </row>
    <row r="16" spans="1:54" x14ac:dyDescent="0.25">
      <c r="A16" s="429">
        <v>11</v>
      </c>
      <c r="B16" s="428" t="str">
        <f>IF(AG16="","",IF('HVAC Inputs'!$F$6="","",'HVAC Inputs'!$F$6))</f>
        <v/>
      </c>
      <c r="C16" s="428" t="str">
        <f>IF(M16="","",'HVAC Inputs'!R26)</f>
        <v/>
      </c>
      <c r="D16" s="428" t="str">
        <f>IF(M16="","",'HVAC Inputs'!S26)</f>
        <v/>
      </c>
      <c r="E16" s="428" t="str">
        <f>IF(M16="","",IF(AI16=2,"",IF('HVAC Inputs'!U26="",IF(OR(D16='HVAC References'!$F$9,D16='HVAC References'!$F$4),INDEX('HVAC References'!$E$35:$N$57,MATCH(P16,'HVAC References'!$E$35:$E$57,0),5),INDEX('HVAC References'!$E$35:$N$57,MATCH(P16,'HVAC References'!$E$35:$E$57,0),4)),'HVAC Inputs'!U26)))</f>
        <v/>
      </c>
      <c r="F16" s="437" t="str">
        <f>IF(M16="","",IF(OR(AI16=2,AI16=3),IF('HVAC Inputs'!V26="",IF(OR(D16='HVAC References'!$F$9,D16='HVAC References'!$F$4),INDEX('HVAC References'!$E$35:$N$57,MATCH(P16,'HVAC References'!$E$35:$E$57,0),3),INDEX('HVAC References'!$E$35:$N$57,MATCH(P16,'HVAC References'!$E$35:$E$57,0),2)),'HVAC Inputs'!V26)-(0.3*((R16*12000)/1000)),IF('HVAC Inputs'!V26="",IF(OR(D16='HVAC References'!$F$9,D16='HVAC References'!$F$4),INDEX('HVAC References'!$E$35:$N$57,MATCH(P16,'HVAC References'!$E$35:$E$57,0),3),INDEX('HVAC References'!$E$35:$N$57,MATCH(P16,'HVAC References'!$E$35:$E$57,0),2)),'HVAC Inputs'!V26)))</f>
        <v/>
      </c>
      <c r="G16" s="428" t="str">
        <f>IF(M16="","",IF(AI16=3,IF('HVAC Inputs'!X26="",INDEX('HVAC References'!$E$35:$L$57,MATCH(P16,'HVAC References'!$E$35:$E$57,0),6),'HVAC Inputs'!X26)-(0.052*((R16*12000)/1000)),""))</f>
        <v/>
      </c>
      <c r="H16" s="428" t="str">
        <f>IF('HVAC Inputs'!W26="","",'HVAC Inputs'!W26)</f>
        <v/>
      </c>
      <c r="I16" s="435" t="str">
        <f>IF('HVAC Inputs'!Y26="",IF(OR(D16='HVAC References'!$Z$35,D16='HVAC References'!$Z$39,D16=""),"",INDEX('HVAC References'!$Z$35:$AA$40,MATCH(D16,'HVAC References'!$Z$35:$Z$40,0),2)),'HVAC Inputs'!Y26)</f>
        <v/>
      </c>
      <c r="J16" s="436">
        <f>IF(D16='HVAC References'!$F$4,0,1)</f>
        <v>1</v>
      </c>
      <c r="K16" s="436">
        <f>IF(D16='HVAC References'!$F$4,1,0)</f>
        <v>0</v>
      </c>
      <c r="M16" s="437" t="str">
        <f>IF('HVAC Inputs'!B26="","",'HVAC Inputs'!B26)</f>
        <v/>
      </c>
      <c r="N16" s="433" t="str">
        <f>IF(M16="","",'HVAC Inputs'!C26)</f>
        <v/>
      </c>
      <c r="O16" s="433" t="str">
        <f>IF(M16="","",'HVAC Inputs'!D26)</f>
        <v/>
      </c>
      <c r="P16" s="433" t="str">
        <f t="shared" si="15"/>
        <v xml:space="preserve">  </v>
      </c>
      <c r="Q16" s="433" t="str">
        <f>IF(M16="","",'HVAC Inputs'!G26)</f>
        <v/>
      </c>
      <c r="R16" s="433" t="str">
        <f>IF(Q16="","",IF(Q16&gt;'HVAC References'!$H$188,'HVAC References'!$H$188,IF(Q16&lt;'HVAC References'!$H$187,'HVAC References'!$H$187,Q16)))</f>
        <v/>
      </c>
      <c r="S16" s="433" t="str">
        <f>IF(M16="","",'HVAC Inputs'!H26)</f>
        <v/>
      </c>
      <c r="T16" s="433" t="str">
        <f>IF(AG16="","",INDEX('HVAC References'!$B$5:$D$26,MATCH(B16,'HVAC References'!$B$5:$B$26,0),2))</f>
        <v/>
      </c>
      <c r="U16" s="433" t="str">
        <f>IF(AG16="","",INDEX('HVAC References'!$B$5:$D$26,MATCH(B16,'HVAC References'!$B$5:$B$26,0),3))</f>
        <v/>
      </c>
      <c r="V16" s="433" t="str">
        <f>IF('HVAC Inputs'!I26="","",'HVAC Inputs'!I26)</f>
        <v/>
      </c>
      <c r="W16" s="433" t="str">
        <f>IF('HVAC Inputs'!J26="","",'HVAC Inputs'!J26)</f>
        <v/>
      </c>
      <c r="X16" s="433" t="str">
        <f>IF('HVAC Inputs'!K26="","",'HVAC Inputs'!K26)</f>
        <v/>
      </c>
      <c r="Y16" s="433" t="str">
        <f>IF('HVAC Inputs'!L26="","",'HVAC Inputs'!L26)</f>
        <v/>
      </c>
      <c r="Z16" s="433" t="str">
        <f>IF(M16="","",INDEX('HVAC References'!$E$35:$P$57,MATCH(P16,'HVAC References'!$E$35:$E$57,0),10))</f>
        <v/>
      </c>
      <c r="AA16" s="433" t="str">
        <f>IF(M16="","",INDEX('HVAC References'!$E$35:$P$57,MATCH(P16,'HVAC References'!$E$35:$E$57,0),9))</f>
        <v/>
      </c>
      <c r="AB16" s="433" t="str">
        <f>IF(M16="","",INDEX('HVAC References'!$E$35:$P$57,MATCH(P16,'HVAC References'!$E$35:$E$57,0),11))</f>
        <v/>
      </c>
      <c r="AC16" s="433" t="str">
        <f t="shared" si="0"/>
        <v/>
      </c>
      <c r="AD16" s="433" t="str">
        <f t="shared" si="1"/>
        <v/>
      </c>
      <c r="AE16" s="433" t="str">
        <f t="shared" si="2"/>
        <v/>
      </c>
      <c r="AF16" s="433" t="str">
        <f t="shared" si="16"/>
        <v>FAIL</v>
      </c>
      <c r="AG16" s="433" t="str">
        <f>IF(AF16="Fail","",INDEX('HVAC References'!$E$35:$R$57,MATCH(P16,'HVAC References'!$E$35:$E$57,0),14))</f>
        <v/>
      </c>
      <c r="AI16" s="546" t="str">
        <f>IF(M16="","",INDEX('HVAC References'!$E$35:$R$57,MATCH(P16,'HVAC References'!$E$35:$E$57,0),13))</f>
        <v/>
      </c>
      <c r="AJ16" s="437" t="str">
        <f t="shared" si="3"/>
        <v/>
      </c>
      <c r="AK16" s="433" t="str">
        <f t="shared" si="4"/>
        <v/>
      </c>
      <c r="AL16" s="433" t="str">
        <f t="shared" si="5"/>
        <v/>
      </c>
      <c r="AM16" s="433" t="str">
        <f t="shared" si="6"/>
        <v/>
      </c>
      <c r="AN16" s="433" t="str">
        <f t="shared" si="7"/>
        <v/>
      </c>
      <c r="AO16" s="433" t="str">
        <f t="shared" si="17"/>
        <v/>
      </c>
      <c r="AP16" s="433" t="str">
        <f>IF(AF16="Pass",AM16*'HVAC References'!$H$12,"")</f>
        <v/>
      </c>
      <c r="AQ16" s="433" t="str">
        <f>IF(AF16="Pass",IF(AI16=3,IF(J16=1,0.012*(1/I16)*U16)-AN16*'HVAC References'!$H$12,0),"")</f>
        <v/>
      </c>
      <c r="AR16" s="433" t="str">
        <f t="shared" si="18"/>
        <v/>
      </c>
      <c r="AT16" s="437" t="e">
        <f t="shared" si="10"/>
        <v>#VALUE!</v>
      </c>
      <c r="AU16" s="433" t="e">
        <f t="shared" si="11"/>
        <v>#VALUE!</v>
      </c>
      <c r="AV16" s="433" t="e">
        <f t="shared" si="12"/>
        <v>#VALUE!</v>
      </c>
      <c r="AW16" s="433" t="e">
        <f t="shared" si="13"/>
        <v>#VALUE!</v>
      </c>
      <c r="AY16" s="571" t="str">
        <f>IF('HVAC Inputs'!P26="","",'HVAC Inputs'!P26*S16)</f>
        <v/>
      </c>
      <c r="AZ16" s="441">
        <f>IF(AF16="Pass",IF('HVAC References'!$K$12="Yes",INDEX('HVAC References'!$E$35:$X$57,MATCH(P16,'HVAC References'!$E$35:$E$57,0),20),INDEX('HVAC References'!$E$35:$X$57,MATCH(P16,'HVAC References'!$E$35:$E$57,0),12)),0)</f>
        <v>0</v>
      </c>
      <c r="BA16" s="441">
        <f t="shared" si="14"/>
        <v>0</v>
      </c>
      <c r="BB16" s="1264"/>
    </row>
    <row r="17" spans="1:54" x14ac:dyDescent="0.25">
      <c r="A17" s="429">
        <v>12</v>
      </c>
      <c r="B17" s="428" t="str">
        <f>IF(AG17="","",IF('HVAC Inputs'!$F$6="","",'HVAC Inputs'!$F$6))</f>
        <v/>
      </c>
      <c r="C17" s="428" t="str">
        <f>IF(M17="","",'HVAC Inputs'!R27)</f>
        <v/>
      </c>
      <c r="D17" s="428" t="str">
        <f>IF(M17="","",'HVAC Inputs'!S27)</f>
        <v/>
      </c>
      <c r="E17" s="428" t="str">
        <f>IF(M17="","",IF(AI17=2,"",IF('HVAC Inputs'!U27="",IF(OR(D17='HVAC References'!$F$9,D17='HVAC References'!$F$4),INDEX('HVAC References'!$E$35:$N$57,MATCH(P17,'HVAC References'!$E$35:$E$57,0),5),INDEX('HVAC References'!$E$35:$N$57,MATCH(P17,'HVAC References'!$E$35:$E$57,0),4)),'HVAC Inputs'!U27)))</f>
        <v/>
      </c>
      <c r="F17" s="437" t="str">
        <f>IF(M17="","",IF(OR(AI17=2,AI17=3),IF('HVAC Inputs'!V27="",IF(OR(D17='HVAC References'!$F$9,D17='HVAC References'!$F$4),INDEX('HVAC References'!$E$35:$N$57,MATCH(P17,'HVAC References'!$E$35:$E$57,0),3),INDEX('HVAC References'!$E$35:$N$57,MATCH(P17,'HVAC References'!$E$35:$E$57,0),2)),'HVAC Inputs'!V27)-(0.3*((R17*12000)/1000)),IF('HVAC Inputs'!V27="",IF(OR(D17='HVAC References'!$F$9,D17='HVAC References'!$F$4),INDEX('HVAC References'!$E$35:$N$57,MATCH(P17,'HVAC References'!$E$35:$E$57,0),3),INDEX('HVAC References'!$E$35:$N$57,MATCH(P17,'HVAC References'!$E$35:$E$57,0),2)),'HVAC Inputs'!V27)))</f>
        <v/>
      </c>
      <c r="G17" s="428" t="str">
        <f>IF(M17="","",IF(AI17=3,IF('HVAC Inputs'!X27="",INDEX('HVAC References'!$E$35:$L$57,MATCH(P17,'HVAC References'!$E$35:$E$57,0),6),'HVAC Inputs'!X27)-(0.052*((R17*12000)/1000)),""))</f>
        <v/>
      </c>
      <c r="H17" s="428" t="str">
        <f>IF('HVAC Inputs'!W27="","",'HVAC Inputs'!W27)</f>
        <v/>
      </c>
      <c r="I17" s="435" t="str">
        <f>IF('HVAC Inputs'!Y27="",IF(OR(D17='HVAC References'!$Z$35,D17='HVAC References'!$Z$39,D17=""),"",INDEX('HVAC References'!$Z$35:$AA$40,MATCH(D17,'HVAC References'!$Z$35:$Z$40,0),2)),'HVAC Inputs'!Y27)</f>
        <v/>
      </c>
      <c r="J17" s="436">
        <f>IF(D17='HVAC References'!$F$4,0,1)</f>
        <v>1</v>
      </c>
      <c r="K17" s="436">
        <f>IF(D17='HVAC References'!$F$4,1,0)</f>
        <v>0</v>
      </c>
      <c r="M17" s="437" t="str">
        <f>IF('HVAC Inputs'!B27="","",'HVAC Inputs'!B27)</f>
        <v/>
      </c>
      <c r="N17" s="433" t="str">
        <f>IF(M17="","",'HVAC Inputs'!C27)</f>
        <v/>
      </c>
      <c r="O17" s="433" t="str">
        <f>IF(M17="","",'HVAC Inputs'!D27)</f>
        <v/>
      </c>
      <c r="P17" s="433" t="str">
        <f t="shared" si="15"/>
        <v xml:space="preserve">  </v>
      </c>
      <c r="Q17" s="433" t="str">
        <f>IF(M17="","",'HVAC Inputs'!G27)</f>
        <v/>
      </c>
      <c r="R17" s="433" t="str">
        <f>IF(Q17="","",IF(Q17&gt;'HVAC References'!$H$188,'HVAC References'!$H$188,IF(Q17&lt;'HVAC References'!$H$187,'HVAC References'!$H$187,Q17)))</f>
        <v/>
      </c>
      <c r="S17" s="433" t="str">
        <f>IF(M17="","",'HVAC Inputs'!H27)</f>
        <v/>
      </c>
      <c r="T17" s="433" t="str">
        <f>IF(AG17="","",INDEX('HVAC References'!$B$5:$D$26,MATCH(B17,'HVAC References'!$B$5:$B$26,0),2))</f>
        <v/>
      </c>
      <c r="U17" s="433" t="str">
        <f>IF(AG17="","",INDEX('HVAC References'!$B$5:$D$26,MATCH(B17,'HVAC References'!$B$5:$B$26,0),3))</f>
        <v/>
      </c>
      <c r="V17" s="433" t="str">
        <f>IF('HVAC Inputs'!I27="","",'HVAC Inputs'!I27)</f>
        <v/>
      </c>
      <c r="W17" s="433" t="str">
        <f>IF('HVAC Inputs'!J27="","",'HVAC Inputs'!J27)</f>
        <v/>
      </c>
      <c r="X17" s="433" t="str">
        <f>IF('HVAC Inputs'!K27="","",'HVAC Inputs'!K27)</f>
        <v/>
      </c>
      <c r="Y17" s="433" t="str">
        <f>IF('HVAC Inputs'!L27="","",'HVAC Inputs'!L27)</f>
        <v/>
      </c>
      <c r="Z17" s="433" t="str">
        <f>IF(M17="","",INDEX('HVAC References'!$E$35:$P$57,MATCH(P17,'HVAC References'!$E$35:$E$57,0),10))</f>
        <v/>
      </c>
      <c r="AA17" s="433" t="str">
        <f>IF(M17="","",INDEX('HVAC References'!$E$35:$P$57,MATCH(P17,'HVAC References'!$E$35:$E$57,0),9))</f>
        <v/>
      </c>
      <c r="AB17" s="433" t="str">
        <f>IF(M17="","",INDEX('HVAC References'!$E$35:$P$57,MATCH(P17,'HVAC References'!$E$35:$E$57,0),11))</f>
        <v/>
      </c>
      <c r="AC17" s="433" t="str">
        <f t="shared" si="0"/>
        <v/>
      </c>
      <c r="AD17" s="433" t="str">
        <f t="shared" si="1"/>
        <v/>
      </c>
      <c r="AE17" s="433" t="str">
        <f t="shared" si="2"/>
        <v/>
      </c>
      <c r="AF17" s="433" t="str">
        <f t="shared" si="16"/>
        <v>FAIL</v>
      </c>
      <c r="AG17" s="433" t="str">
        <f>IF(AF17="Fail","",INDEX('HVAC References'!$E$35:$R$57,MATCH(P17,'HVAC References'!$E$35:$E$57,0),14))</f>
        <v/>
      </c>
      <c r="AI17" s="546" t="str">
        <f>IF(M17="","",INDEX('HVAC References'!$E$35:$R$57,MATCH(P17,'HVAC References'!$E$35:$E$57,0),13))</f>
        <v/>
      </c>
      <c r="AJ17" s="437" t="str">
        <f t="shared" si="3"/>
        <v/>
      </c>
      <c r="AK17" s="433" t="str">
        <f t="shared" si="4"/>
        <v/>
      </c>
      <c r="AL17" s="433" t="str">
        <f t="shared" si="5"/>
        <v/>
      </c>
      <c r="AM17" s="433" t="str">
        <f t="shared" si="6"/>
        <v/>
      </c>
      <c r="AN17" s="433" t="str">
        <f t="shared" si="7"/>
        <v/>
      </c>
      <c r="AO17" s="433" t="str">
        <f t="shared" si="17"/>
        <v/>
      </c>
      <c r="AP17" s="433" t="str">
        <f>IF(AF17="Pass",AM17*'HVAC References'!$H$12,"")</f>
        <v/>
      </c>
      <c r="AQ17" s="433" t="str">
        <f>IF(AF17="Pass",IF(AI17=3,IF(J17=1,0.012*(1/I17)*U17)-AN17*'HVAC References'!$H$12,0),"")</f>
        <v/>
      </c>
      <c r="AR17" s="433" t="str">
        <f t="shared" si="18"/>
        <v/>
      </c>
      <c r="AT17" s="437" t="e">
        <f t="shared" si="10"/>
        <v>#VALUE!</v>
      </c>
      <c r="AU17" s="433" t="e">
        <f t="shared" si="11"/>
        <v>#VALUE!</v>
      </c>
      <c r="AV17" s="433" t="e">
        <f t="shared" si="12"/>
        <v>#VALUE!</v>
      </c>
      <c r="AW17" s="433" t="e">
        <f t="shared" si="13"/>
        <v>#VALUE!</v>
      </c>
      <c r="AY17" s="571" t="str">
        <f>IF('HVAC Inputs'!P27="","",'HVAC Inputs'!P27*S17)</f>
        <v/>
      </c>
      <c r="AZ17" s="441">
        <f>IF(AF17="Pass",IF('HVAC References'!$K$12="Yes",INDEX('HVAC References'!$E$35:$X$57,MATCH(P17,'HVAC References'!$E$35:$E$57,0),20),INDEX('HVAC References'!$E$35:$X$57,MATCH(P17,'HVAC References'!$E$35:$E$57,0),12)),0)</f>
        <v>0</v>
      </c>
      <c r="BA17" s="441">
        <f t="shared" si="14"/>
        <v>0</v>
      </c>
      <c r="BB17" s="1264"/>
    </row>
    <row r="18" spans="1:54" x14ac:dyDescent="0.25">
      <c r="A18" s="429">
        <v>13</v>
      </c>
      <c r="B18" s="428" t="str">
        <f>IF(AG18="","",IF('HVAC Inputs'!$F$6="","",'HVAC Inputs'!$F$6))</f>
        <v/>
      </c>
      <c r="C18" s="428" t="str">
        <f>IF(M18="","",'HVAC Inputs'!R28)</f>
        <v/>
      </c>
      <c r="D18" s="428" t="str">
        <f>IF(M18="","",'HVAC Inputs'!S28)</f>
        <v/>
      </c>
      <c r="E18" s="428" t="str">
        <f>IF(M18="","",IF(AI18=2,"",IF('HVAC Inputs'!U28="",IF(OR(D18='HVAC References'!$F$9,D18='HVAC References'!$F$4),INDEX('HVAC References'!$E$35:$N$57,MATCH(P18,'HVAC References'!$E$35:$E$57,0),5),INDEX('HVAC References'!$E$35:$N$57,MATCH(P18,'HVAC References'!$E$35:$E$57,0),4)),'HVAC Inputs'!U28)))</f>
        <v/>
      </c>
      <c r="F18" s="437" t="str">
        <f>IF(M18="","",IF(OR(AI18=2,AI18=3),IF('HVAC Inputs'!V28="",IF(OR(D18='HVAC References'!$F$9,D18='HVAC References'!$F$4),INDEX('HVAC References'!$E$35:$N$57,MATCH(P18,'HVAC References'!$E$35:$E$57,0),3),INDEX('HVAC References'!$E$35:$N$57,MATCH(P18,'HVAC References'!$E$35:$E$57,0),2)),'HVAC Inputs'!V28)-(0.3*((R18*12000)/1000)),IF('HVAC Inputs'!V28="",IF(OR(D18='HVAC References'!$F$9,D18='HVAC References'!$F$4),INDEX('HVAC References'!$E$35:$N$57,MATCH(P18,'HVAC References'!$E$35:$E$57,0),3),INDEX('HVAC References'!$E$35:$N$57,MATCH(P18,'HVAC References'!$E$35:$E$57,0),2)),'HVAC Inputs'!V28)))</f>
        <v/>
      </c>
      <c r="G18" s="428" t="str">
        <f>IF(M18="","",IF(AI18=3,IF('HVAC Inputs'!X28="",INDEX('HVAC References'!$E$35:$L$57,MATCH(P18,'HVAC References'!$E$35:$E$57,0),6),'HVAC Inputs'!X28)-(0.052*((R18*12000)/1000)),""))</f>
        <v/>
      </c>
      <c r="H18" s="428" t="str">
        <f>IF('HVAC Inputs'!W28="","",'HVAC Inputs'!W28)</f>
        <v/>
      </c>
      <c r="I18" s="435" t="str">
        <f>IF('HVAC Inputs'!Y28="",IF(OR(D18='HVAC References'!$Z$35,D18='HVAC References'!$Z$39,D18=""),"",INDEX('HVAC References'!$Z$35:$AA$40,MATCH(D18,'HVAC References'!$Z$35:$Z$40,0),2)),'HVAC Inputs'!Y28)</f>
        <v/>
      </c>
      <c r="J18" s="436">
        <f>IF(D18='HVAC References'!$F$4,0,1)</f>
        <v>1</v>
      </c>
      <c r="K18" s="436">
        <f>IF(D18='HVAC References'!$F$4,1,0)</f>
        <v>0</v>
      </c>
      <c r="M18" s="437" t="str">
        <f>IF('HVAC Inputs'!B28="","",'HVAC Inputs'!B28)</f>
        <v/>
      </c>
      <c r="N18" s="433" t="str">
        <f>IF(M18="","",'HVAC Inputs'!C28)</f>
        <v/>
      </c>
      <c r="O18" s="433" t="str">
        <f>IF(M18="","",'HVAC Inputs'!D28)</f>
        <v/>
      </c>
      <c r="P18" s="433" t="str">
        <f t="shared" si="15"/>
        <v xml:space="preserve">  </v>
      </c>
      <c r="Q18" s="433" t="str">
        <f>IF(M18="","",'HVAC Inputs'!G28)</f>
        <v/>
      </c>
      <c r="R18" s="433" t="str">
        <f>IF(Q18="","",IF(Q18&gt;'HVAC References'!$H$188,'HVAC References'!$H$188,IF(Q18&lt;'HVAC References'!$H$187,'HVAC References'!$H$187,Q18)))</f>
        <v/>
      </c>
      <c r="S18" s="433" t="str">
        <f>IF(M18="","",'HVAC Inputs'!H28)</f>
        <v/>
      </c>
      <c r="T18" s="433" t="str">
        <f>IF(AG18="","",INDEX('HVAC References'!$B$5:$D$26,MATCH(B18,'HVAC References'!$B$5:$B$26,0),2))</f>
        <v/>
      </c>
      <c r="U18" s="433" t="str">
        <f>IF(AG18="","",INDEX('HVAC References'!$B$5:$D$26,MATCH(B18,'HVAC References'!$B$5:$B$26,0),3))</f>
        <v/>
      </c>
      <c r="V18" s="433" t="str">
        <f>IF('HVAC Inputs'!I28="","",'HVAC Inputs'!I28)</f>
        <v/>
      </c>
      <c r="W18" s="433" t="str">
        <f>IF('HVAC Inputs'!J28="","",'HVAC Inputs'!J28)</f>
        <v/>
      </c>
      <c r="X18" s="433" t="str">
        <f>IF('HVAC Inputs'!K28="","",'HVAC Inputs'!K28)</f>
        <v/>
      </c>
      <c r="Y18" s="433" t="str">
        <f>IF('HVAC Inputs'!L28="","",'HVAC Inputs'!L28)</f>
        <v/>
      </c>
      <c r="Z18" s="433" t="str">
        <f>IF(M18="","",INDEX('HVAC References'!$E$35:$P$57,MATCH(P18,'HVAC References'!$E$35:$E$57,0),10))</f>
        <v/>
      </c>
      <c r="AA18" s="433" t="str">
        <f>IF(M18="","",INDEX('HVAC References'!$E$35:$P$57,MATCH(P18,'HVAC References'!$E$35:$E$57,0),9))</f>
        <v/>
      </c>
      <c r="AB18" s="433" t="str">
        <f>IF(M18="","",INDEX('HVAC References'!$E$35:$P$57,MATCH(P18,'HVAC References'!$E$35:$E$57,0),11))</f>
        <v/>
      </c>
      <c r="AC18" s="433" t="str">
        <f t="shared" si="0"/>
        <v/>
      </c>
      <c r="AD18" s="433" t="str">
        <f t="shared" si="1"/>
        <v/>
      </c>
      <c r="AE18" s="433" t="str">
        <f t="shared" si="2"/>
        <v/>
      </c>
      <c r="AF18" s="433" t="str">
        <f t="shared" si="16"/>
        <v>FAIL</v>
      </c>
      <c r="AG18" s="433" t="str">
        <f>IF(AF18="Fail","",INDEX('HVAC References'!$E$35:$R$57,MATCH(P18,'HVAC References'!$E$35:$E$57,0),14))</f>
        <v/>
      </c>
      <c r="AI18" s="546" t="str">
        <f>IF(M18="","",INDEX('HVAC References'!$E$35:$R$57,MATCH(P18,'HVAC References'!$E$35:$E$57,0),13))</f>
        <v/>
      </c>
      <c r="AJ18" s="437" t="str">
        <f t="shared" si="3"/>
        <v/>
      </c>
      <c r="AK18" s="433" t="str">
        <f t="shared" si="4"/>
        <v/>
      </c>
      <c r="AL18" s="433" t="str">
        <f t="shared" si="5"/>
        <v/>
      </c>
      <c r="AM18" s="433" t="str">
        <f t="shared" si="6"/>
        <v/>
      </c>
      <c r="AN18" s="433" t="str">
        <f t="shared" si="7"/>
        <v/>
      </c>
      <c r="AO18" s="433" t="str">
        <f t="shared" si="17"/>
        <v/>
      </c>
      <c r="AP18" s="433" t="str">
        <f>IF(AF18="Pass",AM18*'HVAC References'!$H$12,"")</f>
        <v/>
      </c>
      <c r="AQ18" s="433" t="str">
        <f>IF(AF18="Pass",IF(AI18=3,IF(J18=1,0.012*(1/I18)*U18)-AN18*'HVAC References'!$H$12,0),"")</f>
        <v/>
      </c>
      <c r="AR18" s="433" t="str">
        <f t="shared" si="18"/>
        <v/>
      </c>
      <c r="AT18" s="437" t="e">
        <f t="shared" si="10"/>
        <v>#VALUE!</v>
      </c>
      <c r="AU18" s="433" t="e">
        <f t="shared" si="11"/>
        <v>#VALUE!</v>
      </c>
      <c r="AV18" s="433" t="e">
        <f t="shared" si="12"/>
        <v>#VALUE!</v>
      </c>
      <c r="AW18" s="433" t="e">
        <f t="shared" si="13"/>
        <v>#VALUE!</v>
      </c>
      <c r="AY18" s="571" t="str">
        <f>IF('HVAC Inputs'!P28="","",'HVAC Inputs'!P28*S18)</f>
        <v/>
      </c>
      <c r="AZ18" s="441">
        <f>IF(AF18="Pass",IF('HVAC References'!$K$12="Yes",INDEX('HVAC References'!$E$35:$X$57,MATCH(P18,'HVAC References'!$E$35:$E$57,0),20),INDEX('HVAC References'!$E$35:$X$57,MATCH(P18,'HVAC References'!$E$35:$E$57,0),12)),0)</f>
        <v>0</v>
      </c>
      <c r="BA18" s="441">
        <f t="shared" si="14"/>
        <v>0</v>
      </c>
      <c r="BB18" s="1264"/>
    </row>
    <row r="19" spans="1:54" x14ac:dyDescent="0.25">
      <c r="A19" s="429">
        <v>14</v>
      </c>
      <c r="B19" s="428" t="str">
        <f>IF(AG19="","",IF('HVAC Inputs'!$F$6="","",'HVAC Inputs'!$F$6))</f>
        <v/>
      </c>
      <c r="C19" s="428" t="str">
        <f>IF(M19="","",'HVAC Inputs'!R29)</f>
        <v/>
      </c>
      <c r="D19" s="428" t="str">
        <f>IF(M19="","",'HVAC Inputs'!S29)</f>
        <v/>
      </c>
      <c r="E19" s="428" t="str">
        <f>IF(M19="","",IF(AI19=2,"",IF('HVAC Inputs'!U29="",IF(OR(D19='HVAC References'!$F$9,D19='HVAC References'!$F$4),INDEX('HVAC References'!$E$35:$N$57,MATCH(P19,'HVAC References'!$E$35:$E$57,0),5),INDEX('HVAC References'!$E$35:$N$57,MATCH(P19,'HVAC References'!$E$35:$E$57,0),4)),'HVAC Inputs'!U29)))</f>
        <v/>
      </c>
      <c r="F19" s="437" t="str">
        <f>IF(M19="","",IF(OR(AI19=2,AI19=3),IF('HVAC Inputs'!V29="",IF(OR(D19='HVAC References'!$F$9,D19='HVAC References'!$F$4),INDEX('HVAC References'!$E$35:$N$57,MATCH(P19,'HVAC References'!$E$35:$E$57,0),3),INDEX('HVAC References'!$E$35:$N$57,MATCH(P19,'HVAC References'!$E$35:$E$57,0),2)),'HVAC Inputs'!V29)-(0.3*((R19*12000)/1000)),IF('HVAC Inputs'!V29="",IF(OR(D19='HVAC References'!$F$9,D19='HVAC References'!$F$4),INDEX('HVAC References'!$E$35:$N$57,MATCH(P19,'HVAC References'!$E$35:$E$57,0),3),INDEX('HVAC References'!$E$35:$N$57,MATCH(P19,'HVAC References'!$E$35:$E$57,0),2)),'HVAC Inputs'!V29)))</f>
        <v/>
      </c>
      <c r="G19" s="428" t="str">
        <f>IF(M19="","",IF(AI19=3,IF('HVAC Inputs'!X29="",INDEX('HVAC References'!$E$35:$L$57,MATCH(P19,'HVAC References'!$E$35:$E$57,0),6),'HVAC Inputs'!X29)-(0.052*((R19*12000)/1000)),""))</f>
        <v/>
      </c>
      <c r="H19" s="428" t="str">
        <f>IF('HVAC Inputs'!W29="","",'HVAC Inputs'!W29)</f>
        <v/>
      </c>
      <c r="I19" s="435" t="str">
        <f>IF('HVAC Inputs'!Y29="",IF(OR(D19='HVAC References'!$Z$35,D19='HVAC References'!$Z$39,D19=""),"",INDEX('HVAC References'!$Z$35:$AA$40,MATCH(D19,'HVAC References'!$Z$35:$Z$40,0),2)),'HVAC Inputs'!Y29)</f>
        <v/>
      </c>
      <c r="J19" s="436">
        <f>IF(D19='HVAC References'!$F$4,0,1)</f>
        <v>1</v>
      </c>
      <c r="K19" s="436">
        <f>IF(D19='HVAC References'!$F$4,1,0)</f>
        <v>0</v>
      </c>
      <c r="M19" s="437" t="str">
        <f>IF('HVAC Inputs'!B29="","",'HVAC Inputs'!B29)</f>
        <v/>
      </c>
      <c r="N19" s="433" t="str">
        <f>IF(M19="","",'HVAC Inputs'!C29)</f>
        <v/>
      </c>
      <c r="O19" s="433" t="str">
        <f>IF(M19="","",'HVAC Inputs'!D29)</f>
        <v/>
      </c>
      <c r="P19" s="433" t="str">
        <f t="shared" si="15"/>
        <v xml:space="preserve">  </v>
      </c>
      <c r="Q19" s="433" t="str">
        <f>IF(M19="","",'HVAC Inputs'!G29)</f>
        <v/>
      </c>
      <c r="R19" s="433" t="str">
        <f>IF(Q19="","",IF(Q19&gt;'HVAC References'!$H$188,'HVAC References'!$H$188,IF(Q19&lt;'HVAC References'!$H$187,'HVAC References'!$H$187,Q19)))</f>
        <v/>
      </c>
      <c r="S19" s="433" t="str">
        <f>IF(M19="","",'HVAC Inputs'!H29)</f>
        <v/>
      </c>
      <c r="T19" s="433" t="str">
        <f>IF(AG19="","",INDEX('HVAC References'!$B$5:$D$26,MATCH(B19,'HVAC References'!$B$5:$B$26,0),2))</f>
        <v/>
      </c>
      <c r="U19" s="433" t="str">
        <f>IF(AG19="","",INDEX('HVAC References'!$B$5:$D$26,MATCH(B19,'HVAC References'!$B$5:$B$26,0),3))</f>
        <v/>
      </c>
      <c r="V19" s="433" t="str">
        <f>IF('HVAC Inputs'!I29="","",'HVAC Inputs'!I29)</f>
        <v/>
      </c>
      <c r="W19" s="433" t="str">
        <f>IF('HVAC Inputs'!J29="","",'HVAC Inputs'!J29)</f>
        <v/>
      </c>
      <c r="X19" s="433" t="str">
        <f>IF('HVAC Inputs'!K29="","",'HVAC Inputs'!K29)</f>
        <v/>
      </c>
      <c r="Y19" s="433" t="str">
        <f>IF('HVAC Inputs'!L29="","",'HVAC Inputs'!L29)</f>
        <v/>
      </c>
      <c r="Z19" s="433" t="str">
        <f>IF(M19="","",INDEX('HVAC References'!$E$35:$P$57,MATCH(P19,'HVAC References'!$E$35:$E$57,0),10))</f>
        <v/>
      </c>
      <c r="AA19" s="433" t="str">
        <f>IF(M19="","",INDEX('HVAC References'!$E$35:$P$57,MATCH(P19,'HVAC References'!$E$35:$E$57,0),9))</f>
        <v/>
      </c>
      <c r="AB19" s="433" t="str">
        <f>IF(M19="","",INDEX('HVAC References'!$E$35:$P$57,MATCH(P19,'HVAC References'!$E$35:$E$57,0),11))</f>
        <v/>
      </c>
      <c r="AC19" s="433" t="str">
        <f t="shared" si="0"/>
        <v/>
      </c>
      <c r="AD19" s="433" t="str">
        <f t="shared" si="1"/>
        <v/>
      </c>
      <c r="AE19" s="433" t="str">
        <f t="shared" si="2"/>
        <v/>
      </c>
      <c r="AF19" s="433" t="str">
        <f t="shared" si="16"/>
        <v>FAIL</v>
      </c>
      <c r="AG19" s="433" t="str">
        <f>IF(AF19="Fail","",INDEX('HVAC References'!$E$35:$R$57,MATCH(P19,'HVAC References'!$E$35:$E$57,0),14))</f>
        <v/>
      </c>
      <c r="AI19" s="546" t="str">
        <f>IF(M19="","",INDEX('HVAC References'!$E$35:$R$57,MATCH(P19,'HVAC References'!$E$35:$E$57,0),13))</f>
        <v/>
      </c>
      <c r="AJ19" s="437" t="str">
        <f t="shared" si="3"/>
        <v/>
      </c>
      <c r="AK19" s="433" t="str">
        <f t="shared" si="4"/>
        <v/>
      </c>
      <c r="AL19" s="433" t="str">
        <f t="shared" si="5"/>
        <v/>
      </c>
      <c r="AM19" s="433" t="str">
        <f t="shared" si="6"/>
        <v/>
      </c>
      <c r="AN19" s="433" t="str">
        <f t="shared" si="7"/>
        <v/>
      </c>
      <c r="AO19" s="433" t="str">
        <f t="shared" si="17"/>
        <v/>
      </c>
      <c r="AP19" s="433" t="str">
        <f>IF(AF19="Pass",AM19*'HVAC References'!$H$12,"")</f>
        <v/>
      </c>
      <c r="AQ19" s="433" t="str">
        <f>IF(AF19="Pass",IF(AI19=3,IF(J19=1,0.012*(1/I19)*U19)-AN19*'HVAC References'!$H$12,0),"")</f>
        <v/>
      </c>
      <c r="AR19" s="433" t="str">
        <f t="shared" si="18"/>
        <v/>
      </c>
      <c r="AT19" s="437" t="e">
        <f t="shared" si="10"/>
        <v>#VALUE!</v>
      </c>
      <c r="AU19" s="433" t="e">
        <f t="shared" si="11"/>
        <v>#VALUE!</v>
      </c>
      <c r="AV19" s="433" t="e">
        <f t="shared" si="12"/>
        <v>#VALUE!</v>
      </c>
      <c r="AW19" s="433" t="e">
        <f t="shared" si="13"/>
        <v>#VALUE!</v>
      </c>
      <c r="AY19" s="571" t="str">
        <f>IF('HVAC Inputs'!P29="","",'HVAC Inputs'!P29*S19)</f>
        <v/>
      </c>
      <c r="AZ19" s="441">
        <f>IF(AF19="Pass",IF('HVAC References'!$K$12="Yes",INDEX('HVAC References'!$E$35:$X$57,MATCH(P19,'HVAC References'!$E$35:$E$57,0),20),INDEX('HVAC References'!$E$35:$X$57,MATCH(P19,'HVAC References'!$E$35:$E$57,0),12)),0)</f>
        <v>0</v>
      </c>
      <c r="BA19" s="441">
        <f t="shared" si="14"/>
        <v>0</v>
      </c>
      <c r="BB19" s="1264"/>
    </row>
    <row r="20" spans="1:54" x14ac:dyDescent="0.25">
      <c r="A20" s="429">
        <v>15</v>
      </c>
      <c r="B20" s="428" t="str">
        <f>IF(AG20="","",IF('HVAC Inputs'!$F$6="","",'HVAC Inputs'!$F$6))</f>
        <v/>
      </c>
      <c r="C20" s="428" t="str">
        <f>IF(M20="","",'HVAC Inputs'!R30)</f>
        <v/>
      </c>
      <c r="D20" s="428" t="str">
        <f>IF(M20="","",'HVAC Inputs'!S30)</f>
        <v/>
      </c>
      <c r="E20" s="428" t="str">
        <f>IF(M20="","",IF(AI20=2,"",IF('HVAC Inputs'!U30="",IF(OR(D20='HVAC References'!$F$9,D20='HVAC References'!$F$4),INDEX('HVAC References'!$E$35:$N$57,MATCH(P20,'HVAC References'!$E$35:$E$57,0),5),INDEX('HVAC References'!$E$35:$N$57,MATCH(P20,'HVAC References'!$E$35:$E$57,0),4)),'HVAC Inputs'!U30)))</f>
        <v/>
      </c>
      <c r="F20" s="437" t="str">
        <f>IF(M20="","",IF(OR(AI20=2,AI20=3),IF('HVAC Inputs'!V30="",IF(OR(D20='HVAC References'!$F$9,D20='HVAC References'!$F$4),INDEX('HVAC References'!$E$35:$N$57,MATCH(P20,'HVAC References'!$E$35:$E$57,0),3),INDEX('HVAC References'!$E$35:$N$57,MATCH(P20,'HVAC References'!$E$35:$E$57,0),2)),'HVAC Inputs'!V30)-(0.3*((R20*12000)/1000)),IF('HVAC Inputs'!V30="",IF(OR(D20='HVAC References'!$F$9,D20='HVAC References'!$F$4),INDEX('HVAC References'!$E$35:$N$57,MATCH(P20,'HVAC References'!$E$35:$E$57,0),3),INDEX('HVAC References'!$E$35:$N$57,MATCH(P20,'HVAC References'!$E$35:$E$57,0),2)),'HVAC Inputs'!V30)))</f>
        <v/>
      </c>
      <c r="G20" s="428" t="str">
        <f>IF(M20="","",IF(AI20=3,IF('HVAC Inputs'!X30="",INDEX('HVAC References'!$E$35:$L$57,MATCH(P20,'HVAC References'!$E$35:$E$57,0),6),'HVAC Inputs'!X30)-(0.052*((R20*12000)/1000)),""))</f>
        <v/>
      </c>
      <c r="H20" s="428" t="str">
        <f>IF('HVAC Inputs'!W30="","",'HVAC Inputs'!W30)</f>
        <v/>
      </c>
      <c r="I20" s="435" t="str">
        <f>IF('HVAC Inputs'!Y30="",IF(OR(D20='HVAC References'!$Z$35,D20='HVAC References'!$Z$39,D20=""),"",INDEX('HVAC References'!$Z$35:$AA$40,MATCH(D20,'HVAC References'!$Z$35:$Z$40,0),2)),'HVAC Inputs'!Y30)</f>
        <v/>
      </c>
      <c r="J20" s="436">
        <f>IF(D20='HVAC References'!$F$4,0,1)</f>
        <v>1</v>
      </c>
      <c r="K20" s="436">
        <f>IF(D20='HVAC References'!$F$4,1,0)</f>
        <v>0</v>
      </c>
      <c r="M20" s="437" t="str">
        <f>IF('HVAC Inputs'!B30="","",'HVAC Inputs'!B30)</f>
        <v/>
      </c>
      <c r="N20" s="433" t="str">
        <f>IF(M20="","",'HVAC Inputs'!C30)</f>
        <v/>
      </c>
      <c r="O20" s="433" t="str">
        <f>IF(M20="","",'HVAC Inputs'!D30)</f>
        <v/>
      </c>
      <c r="P20" s="433" t="str">
        <f t="shared" si="15"/>
        <v xml:space="preserve">  </v>
      </c>
      <c r="Q20" s="433" t="str">
        <f>IF(M20="","",'HVAC Inputs'!G30)</f>
        <v/>
      </c>
      <c r="R20" s="433" t="str">
        <f>IF(Q20="","",IF(Q20&gt;'HVAC References'!$H$188,'HVAC References'!$H$188,IF(Q20&lt;'HVAC References'!$H$187,'HVAC References'!$H$187,Q20)))</f>
        <v/>
      </c>
      <c r="S20" s="433" t="str">
        <f>IF(M20="","",'HVAC Inputs'!H30)</f>
        <v/>
      </c>
      <c r="T20" s="433" t="str">
        <f>IF(AG20="","",INDEX('HVAC References'!$B$5:$D$26,MATCH(B20,'HVAC References'!$B$5:$B$26,0),2))</f>
        <v/>
      </c>
      <c r="U20" s="433" t="str">
        <f>IF(AG20="","",INDEX('HVAC References'!$B$5:$D$26,MATCH(B20,'HVAC References'!$B$5:$B$26,0),3))</f>
        <v/>
      </c>
      <c r="V20" s="433" t="str">
        <f>IF('HVAC Inputs'!I30="","",'HVAC Inputs'!I30)</f>
        <v/>
      </c>
      <c r="W20" s="433" t="str">
        <f>IF('HVAC Inputs'!J30="","",'HVAC Inputs'!J30)</f>
        <v/>
      </c>
      <c r="X20" s="433" t="str">
        <f>IF('HVAC Inputs'!K30="","",'HVAC Inputs'!K30)</f>
        <v/>
      </c>
      <c r="Y20" s="433" t="str">
        <f>IF('HVAC Inputs'!L30="","",'HVAC Inputs'!L30)</f>
        <v/>
      </c>
      <c r="Z20" s="433" t="str">
        <f>IF(M20="","",INDEX('HVAC References'!$E$35:$P$57,MATCH(P20,'HVAC References'!$E$35:$E$57,0),10))</f>
        <v/>
      </c>
      <c r="AA20" s="433" t="str">
        <f>IF(M20="","",INDEX('HVAC References'!$E$35:$P$57,MATCH(P20,'HVAC References'!$E$35:$E$57,0),9))</f>
        <v/>
      </c>
      <c r="AB20" s="433" t="str">
        <f>IF(M20="","",INDEX('HVAC References'!$E$35:$P$57,MATCH(P20,'HVAC References'!$E$35:$E$57,0),11))</f>
        <v/>
      </c>
      <c r="AC20" s="433" t="str">
        <f t="shared" si="0"/>
        <v/>
      </c>
      <c r="AD20" s="433" t="str">
        <f t="shared" si="1"/>
        <v/>
      </c>
      <c r="AE20" s="433" t="str">
        <f t="shared" si="2"/>
        <v/>
      </c>
      <c r="AF20" s="433" t="str">
        <f t="shared" si="16"/>
        <v>FAIL</v>
      </c>
      <c r="AG20" s="433" t="str">
        <f>IF(AF20="Fail","",INDEX('HVAC References'!$E$35:$R$57,MATCH(P20,'HVAC References'!$E$35:$E$57,0),14))</f>
        <v/>
      </c>
      <c r="AI20" s="546" t="str">
        <f>IF(M20="","",INDEX('HVAC References'!$E$35:$R$57,MATCH(P20,'HVAC References'!$E$35:$E$57,0),13))</f>
        <v/>
      </c>
      <c r="AJ20" s="437" t="str">
        <f t="shared" si="3"/>
        <v/>
      </c>
      <c r="AK20" s="433" t="str">
        <f t="shared" si="4"/>
        <v/>
      </c>
      <c r="AL20" s="433" t="str">
        <f t="shared" si="5"/>
        <v/>
      </c>
      <c r="AM20" s="433" t="str">
        <f t="shared" si="6"/>
        <v/>
      </c>
      <c r="AN20" s="433" t="str">
        <f t="shared" si="7"/>
        <v/>
      </c>
      <c r="AO20" s="433" t="str">
        <f t="shared" si="17"/>
        <v/>
      </c>
      <c r="AP20" s="433" t="str">
        <f>IF(AF20="Pass",AM20*'HVAC References'!$H$12,"")</f>
        <v/>
      </c>
      <c r="AQ20" s="433" t="str">
        <f>IF(AF20="Pass",IF(AI20=3,IF(J20=1,0.012*(1/I20)*U20)-AN20*'HVAC References'!$H$12,0),"")</f>
        <v/>
      </c>
      <c r="AR20" s="433" t="str">
        <f t="shared" si="18"/>
        <v/>
      </c>
      <c r="AT20" s="437" t="e">
        <f t="shared" si="10"/>
        <v>#VALUE!</v>
      </c>
      <c r="AU20" s="433" t="e">
        <f t="shared" si="11"/>
        <v>#VALUE!</v>
      </c>
      <c r="AV20" s="433" t="e">
        <f t="shared" si="12"/>
        <v>#VALUE!</v>
      </c>
      <c r="AW20" s="433" t="e">
        <f t="shared" si="13"/>
        <v>#VALUE!</v>
      </c>
      <c r="AY20" s="571" t="str">
        <f>IF('HVAC Inputs'!P30="","",'HVAC Inputs'!P30*S20)</f>
        <v/>
      </c>
      <c r="AZ20" s="441">
        <f>IF(AF20="Pass",IF('HVAC References'!$K$12="Yes",INDEX('HVAC References'!$E$35:$X$57,MATCH(P20,'HVAC References'!$E$35:$E$57,0),20),INDEX('HVAC References'!$E$35:$X$57,MATCH(P20,'HVAC References'!$E$35:$E$57,0),12)),0)</f>
        <v>0</v>
      </c>
      <c r="BA20" s="441">
        <f t="shared" si="14"/>
        <v>0</v>
      </c>
      <c r="BB20" s="1264"/>
    </row>
    <row r="21" spans="1:54" x14ac:dyDescent="0.25">
      <c r="A21" s="429">
        <v>16</v>
      </c>
      <c r="B21" s="428" t="str">
        <f>IF(AG21="","",IF('HVAC Inputs'!$F$6="","",'HVAC Inputs'!$F$6))</f>
        <v/>
      </c>
      <c r="C21" s="428" t="str">
        <f>IF(M21="","",'HVAC Inputs'!R31)</f>
        <v/>
      </c>
      <c r="D21" s="428" t="str">
        <f>IF(M21="","",'HVAC Inputs'!S31)</f>
        <v/>
      </c>
      <c r="E21" s="428" t="str">
        <f>IF(M21="","",IF(AI21=2,"",IF('HVAC Inputs'!U31="",IF(OR(D21='HVAC References'!$F$9,D21='HVAC References'!$F$4),INDEX('HVAC References'!$E$35:$N$57,MATCH(P21,'HVAC References'!$E$35:$E$57,0),5),INDEX('HVAC References'!$E$35:$N$57,MATCH(P21,'HVAC References'!$E$35:$E$57,0),4)),'HVAC Inputs'!U31)))</f>
        <v/>
      </c>
      <c r="F21" s="437" t="str">
        <f>IF(M21="","",IF(OR(AI21=2,AI21=3),IF('HVAC Inputs'!V31="",IF(OR(D21='HVAC References'!$F$9,D21='HVAC References'!$F$4),INDEX('HVAC References'!$E$35:$N$57,MATCH(P21,'HVAC References'!$E$35:$E$57,0),3),INDEX('HVAC References'!$E$35:$N$57,MATCH(P21,'HVAC References'!$E$35:$E$57,0),2)),'HVAC Inputs'!V31)-(0.3*((R21*12000)/1000)),IF('HVAC Inputs'!V31="",IF(OR(D21='HVAC References'!$F$9,D21='HVAC References'!$F$4),INDEX('HVAC References'!$E$35:$N$57,MATCH(P21,'HVAC References'!$E$35:$E$57,0),3),INDEX('HVAC References'!$E$35:$N$57,MATCH(P21,'HVAC References'!$E$35:$E$57,0),2)),'HVAC Inputs'!V31)))</f>
        <v/>
      </c>
      <c r="G21" s="428" t="str">
        <f>IF(M21="","",IF(AI21=3,IF('HVAC Inputs'!X31="",INDEX('HVAC References'!$E$35:$L$57,MATCH(P21,'HVAC References'!$E$35:$E$57,0),6),'HVAC Inputs'!X31)-(0.052*((R21*12000)/1000)),""))</f>
        <v/>
      </c>
      <c r="H21" s="428" t="str">
        <f>IF('HVAC Inputs'!W31="","",'HVAC Inputs'!W31)</f>
        <v/>
      </c>
      <c r="I21" s="435" t="str">
        <f>IF('HVAC Inputs'!Y31="",IF(OR(D21='HVAC References'!$Z$35,D21='HVAC References'!$Z$39,D21=""),"",INDEX('HVAC References'!$Z$35:$AA$40,MATCH(D21,'HVAC References'!$Z$35:$Z$40,0),2)),'HVAC Inputs'!Y31)</f>
        <v/>
      </c>
      <c r="J21" s="436">
        <f>IF(D21='HVAC References'!$F$4,0,1)</f>
        <v>1</v>
      </c>
      <c r="K21" s="436">
        <f>IF(D21='HVAC References'!$F$4,1,0)</f>
        <v>0</v>
      </c>
      <c r="M21" s="437" t="str">
        <f>IF('HVAC Inputs'!B31="","",'HVAC Inputs'!B31)</f>
        <v/>
      </c>
      <c r="N21" s="433" t="str">
        <f>IF(M21="","",'HVAC Inputs'!C31)</f>
        <v/>
      </c>
      <c r="O21" s="433" t="str">
        <f>IF(M21="","",'HVAC Inputs'!D31)</f>
        <v/>
      </c>
      <c r="P21" s="433" t="str">
        <f t="shared" si="15"/>
        <v xml:space="preserve">  </v>
      </c>
      <c r="Q21" s="433" t="str">
        <f>IF(M21="","",'HVAC Inputs'!G31)</f>
        <v/>
      </c>
      <c r="R21" s="433" t="str">
        <f>IF(Q21="","",IF(Q21&gt;'HVAC References'!$H$188,'HVAC References'!$H$188,IF(Q21&lt;'HVAC References'!$H$187,'HVAC References'!$H$187,Q21)))</f>
        <v/>
      </c>
      <c r="S21" s="433" t="str">
        <f>IF(M21="","",'HVAC Inputs'!H31)</f>
        <v/>
      </c>
      <c r="T21" s="433" t="str">
        <f>IF(AG21="","",INDEX('HVAC References'!$B$5:$D$26,MATCH(B21,'HVAC References'!$B$5:$B$26,0),2))</f>
        <v/>
      </c>
      <c r="U21" s="433" t="str">
        <f>IF(AG21="","",INDEX('HVAC References'!$B$5:$D$26,MATCH(B21,'HVAC References'!$B$5:$B$26,0),3))</f>
        <v/>
      </c>
      <c r="V21" s="433" t="str">
        <f>IF('HVAC Inputs'!I31="","",'HVAC Inputs'!I31)</f>
        <v/>
      </c>
      <c r="W21" s="433" t="str">
        <f>IF('HVAC Inputs'!J31="","",'HVAC Inputs'!J31)</f>
        <v/>
      </c>
      <c r="X21" s="433" t="str">
        <f>IF('HVAC Inputs'!K31="","",'HVAC Inputs'!K31)</f>
        <v/>
      </c>
      <c r="Y21" s="433" t="str">
        <f>IF('HVAC Inputs'!L31="","",'HVAC Inputs'!L31)</f>
        <v/>
      </c>
      <c r="Z21" s="433" t="str">
        <f>IF(M21="","",INDEX('HVAC References'!$E$35:$P$57,MATCH(P21,'HVAC References'!$E$35:$E$57,0),10))</f>
        <v/>
      </c>
      <c r="AA21" s="433" t="str">
        <f>IF(M21="","",INDEX('HVAC References'!$E$35:$P$57,MATCH(P21,'HVAC References'!$E$35:$E$57,0),9))</f>
        <v/>
      </c>
      <c r="AB21" s="433" t="str">
        <f>IF(M21="","",INDEX('HVAC References'!$E$35:$P$57,MATCH(P21,'HVAC References'!$E$35:$E$57,0),11))</f>
        <v/>
      </c>
      <c r="AC21" s="433" t="str">
        <f t="shared" si="0"/>
        <v/>
      </c>
      <c r="AD21" s="433" t="str">
        <f t="shared" si="1"/>
        <v/>
      </c>
      <c r="AE21" s="433" t="str">
        <f t="shared" si="2"/>
        <v/>
      </c>
      <c r="AF21" s="433" t="str">
        <f t="shared" si="16"/>
        <v>FAIL</v>
      </c>
      <c r="AG21" s="433" t="str">
        <f>IF(AF21="Fail","",INDEX('HVAC References'!$E$35:$R$57,MATCH(P21,'HVAC References'!$E$35:$E$57,0),14))</f>
        <v/>
      </c>
      <c r="AI21" s="546" t="str">
        <f>IF(M21="","",INDEX('HVAC References'!$E$35:$R$57,MATCH(P21,'HVAC References'!$E$35:$E$57,0),13))</f>
        <v/>
      </c>
      <c r="AJ21" s="437" t="str">
        <f t="shared" si="3"/>
        <v/>
      </c>
      <c r="AK21" s="433" t="str">
        <f t="shared" si="4"/>
        <v/>
      </c>
      <c r="AL21" s="433" t="str">
        <f t="shared" si="5"/>
        <v/>
      </c>
      <c r="AM21" s="433" t="str">
        <f t="shared" si="6"/>
        <v/>
      </c>
      <c r="AN21" s="433" t="str">
        <f t="shared" si="7"/>
        <v/>
      </c>
      <c r="AO21" s="433" t="str">
        <f t="shared" si="17"/>
        <v/>
      </c>
      <c r="AP21" s="433" t="str">
        <f>IF(AF21="Pass",AM21*'HVAC References'!$H$12,"")</f>
        <v/>
      </c>
      <c r="AQ21" s="433" t="str">
        <f>IF(AF21="Pass",IF(AI21=3,IF(J21=1,0.012*(1/I21)*U21)-AN21*'HVAC References'!$H$12,0),"")</f>
        <v/>
      </c>
      <c r="AR21" s="433" t="str">
        <f t="shared" si="18"/>
        <v/>
      </c>
      <c r="AT21" s="437" t="e">
        <f t="shared" si="10"/>
        <v>#VALUE!</v>
      </c>
      <c r="AU21" s="433" t="e">
        <f t="shared" si="11"/>
        <v>#VALUE!</v>
      </c>
      <c r="AV21" s="433" t="e">
        <f t="shared" si="12"/>
        <v>#VALUE!</v>
      </c>
      <c r="AW21" s="433" t="e">
        <f t="shared" si="13"/>
        <v>#VALUE!</v>
      </c>
      <c r="AY21" s="571" t="str">
        <f>IF('HVAC Inputs'!P31="","",'HVAC Inputs'!P31*S21)</f>
        <v/>
      </c>
      <c r="AZ21" s="441">
        <f>IF(AF21="Pass",IF('HVAC References'!$K$12="Yes",INDEX('HVAC References'!$E$35:$X$57,MATCH(P21,'HVAC References'!$E$35:$E$57,0),20),INDEX('HVAC References'!$E$35:$X$57,MATCH(P21,'HVAC References'!$E$35:$E$57,0),12)),0)</f>
        <v>0</v>
      </c>
      <c r="BA21" s="441">
        <f t="shared" si="14"/>
        <v>0</v>
      </c>
      <c r="BB21" s="1264"/>
    </row>
    <row r="22" spans="1:54" x14ac:dyDescent="0.25">
      <c r="A22" s="429">
        <v>17</v>
      </c>
      <c r="B22" s="428" t="str">
        <f>IF(AG22="","",IF('HVAC Inputs'!$F$6="","",'HVAC Inputs'!$F$6))</f>
        <v/>
      </c>
      <c r="C22" s="428" t="str">
        <f>IF(M22="","",'HVAC Inputs'!R32)</f>
        <v/>
      </c>
      <c r="D22" s="428" t="str">
        <f>IF(M22="","",'HVAC Inputs'!S32)</f>
        <v/>
      </c>
      <c r="E22" s="428" t="str">
        <f>IF(M22="","",IF(AI22=2,"",IF('HVAC Inputs'!U32="",IF(OR(D22='HVAC References'!$F$9,D22='HVAC References'!$F$4),INDEX('HVAC References'!$E$35:$N$57,MATCH(P22,'HVAC References'!$E$35:$E$57,0),5),INDEX('HVAC References'!$E$35:$N$57,MATCH(P22,'HVAC References'!$E$35:$E$57,0),4)),'HVAC Inputs'!U32)))</f>
        <v/>
      </c>
      <c r="F22" s="437" t="str">
        <f>IF(M22="","",IF(OR(AI22=2,AI22=3),IF('HVAC Inputs'!V32="",IF(OR(D22='HVAC References'!$F$9,D22='HVAC References'!$F$4),INDEX('HVAC References'!$E$35:$N$57,MATCH(P22,'HVAC References'!$E$35:$E$57,0),3),INDEX('HVAC References'!$E$35:$N$57,MATCH(P22,'HVAC References'!$E$35:$E$57,0),2)),'HVAC Inputs'!V32)-(0.3*((R22*12000)/1000)),IF('HVAC Inputs'!V32="",IF(OR(D22='HVAC References'!$F$9,D22='HVAC References'!$F$4),INDEX('HVAC References'!$E$35:$N$57,MATCH(P22,'HVAC References'!$E$35:$E$57,0),3),INDEX('HVAC References'!$E$35:$N$57,MATCH(P22,'HVAC References'!$E$35:$E$57,0),2)),'HVAC Inputs'!V32)))</f>
        <v/>
      </c>
      <c r="G22" s="428" t="str">
        <f>IF(M22="","",IF(AI22=3,IF('HVAC Inputs'!X32="",INDEX('HVAC References'!$E$35:$L$57,MATCH(P22,'HVAC References'!$E$35:$E$57,0),6),'HVAC Inputs'!X32)-(0.052*((R22*12000)/1000)),""))</f>
        <v/>
      </c>
      <c r="H22" s="428" t="str">
        <f>IF('HVAC Inputs'!W32="","",'HVAC Inputs'!W32)</f>
        <v/>
      </c>
      <c r="I22" s="435" t="str">
        <f>IF('HVAC Inputs'!Y32="",IF(OR(D22='HVAC References'!$Z$35,D22='HVAC References'!$Z$39,D22=""),"",INDEX('HVAC References'!$Z$35:$AA$40,MATCH(D22,'HVAC References'!$Z$35:$Z$40,0),2)),'HVAC Inputs'!Y32)</f>
        <v/>
      </c>
      <c r="J22" s="436">
        <f>IF(D22='HVAC References'!$F$4,0,1)</f>
        <v>1</v>
      </c>
      <c r="K22" s="436">
        <f>IF(D22='HVAC References'!$F$4,1,0)</f>
        <v>0</v>
      </c>
      <c r="M22" s="437" t="str">
        <f>IF('HVAC Inputs'!B32="","",'HVAC Inputs'!B32)</f>
        <v/>
      </c>
      <c r="N22" s="433" t="str">
        <f>IF(M22="","",'HVAC Inputs'!C32)</f>
        <v/>
      </c>
      <c r="O22" s="433" t="str">
        <f>IF(M22="","",'HVAC Inputs'!D32)</f>
        <v/>
      </c>
      <c r="P22" s="433" t="str">
        <f t="shared" si="15"/>
        <v xml:space="preserve">  </v>
      </c>
      <c r="Q22" s="433" t="str">
        <f>IF(M22="","",'HVAC Inputs'!G32)</f>
        <v/>
      </c>
      <c r="R22" s="433" t="str">
        <f>IF(Q22="","",IF(Q22&gt;'HVAC References'!$H$188,'HVAC References'!$H$188,IF(Q22&lt;'HVAC References'!$H$187,'HVAC References'!$H$187,Q22)))</f>
        <v/>
      </c>
      <c r="S22" s="433" t="str">
        <f>IF(M22="","",'HVAC Inputs'!H32)</f>
        <v/>
      </c>
      <c r="T22" s="433" t="str">
        <f>IF(AG22="","",INDEX('HVAC References'!$B$5:$D$26,MATCH(B22,'HVAC References'!$B$5:$B$26,0),2))</f>
        <v/>
      </c>
      <c r="U22" s="433" t="str">
        <f>IF(AG22="","",INDEX('HVAC References'!$B$5:$D$26,MATCH(B22,'HVAC References'!$B$5:$B$26,0),3))</f>
        <v/>
      </c>
      <c r="V22" s="433" t="str">
        <f>IF('HVAC Inputs'!I32="","",'HVAC Inputs'!I32)</f>
        <v/>
      </c>
      <c r="W22" s="433" t="str">
        <f>IF('HVAC Inputs'!J32="","",'HVAC Inputs'!J32)</f>
        <v/>
      </c>
      <c r="X22" s="433" t="str">
        <f>IF('HVAC Inputs'!K32="","",'HVAC Inputs'!K32)</f>
        <v/>
      </c>
      <c r="Y22" s="433" t="str">
        <f>IF('HVAC Inputs'!L32="","",'HVAC Inputs'!L32)</f>
        <v/>
      </c>
      <c r="Z22" s="433" t="str">
        <f>IF(M22="","",INDEX('HVAC References'!$E$35:$P$57,MATCH(P22,'HVAC References'!$E$35:$E$57,0),10))</f>
        <v/>
      </c>
      <c r="AA22" s="433" t="str">
        <f>IF(M22="","",INDEX('HVAC References'!$E$35:$P$57,MATCH(P22,'HVAC References'!$E$35:$E$57,0),9))</f>
        <v/>
      </c>
      <c r="AB22" s="433" t="str">
        <f>IF(M22="","",INDEX('HVAC References'!$E$35:$P$57,MATCH(P22,'HVAC References'!$E$35:$E$57,0),11))</f>
        <v/>
      </c>
      <c r="AC22" s="433" t="str">
        <f t="shared" si="0"/>
        <v/>
      </c>
      <c r="AD22" s="433" t="str">
        <f t="shared" si="1"/>
        <v/>
      </c>
      <c r="AE22" s="433" t="str">
        <f t="shared" si="2"/>
        <v/>
      </c>
      <c r="AF22" s="433" t="str">
        <f t="shared" si="16"/>
        <v>FAIL</v>
      </c>
      <c r="AG22" s="433" t="str">
        <f>IF(AF22="Fail","",INDEX('HVAC References'!$E$35:$R$57,MATCH(P22,'HVAC References'!$E$35:$E$57,0),14))</f>
        <v/>
      </c>
      <c r="AI22" s="546" t="str">
        <f>IF(M22="","",INDEX('HVAC References'!$E$35:$R$57,MATCH(P22,'HVAC References'!$E$35:$E$57,0),13))</f>
        <v/>
      </c>
      <c r="AJ22" s="437" t="str">
        <f t="shared" si="3"/>
        <v/>
      </c>
      <c r="AK22" s="433" t="str">
        <f t="shared" si="4"/>
        <v/>
      </c>
      <c r="AL22" s="433" t="str">
        <f t="shared" si="5"/>
        <v/>
      </c>
      <c r="AM22" s="433" t="str">
        <f t="shared" si="6"/>
        <v/>
      </c>
      <c r="AN22" s="433" t="str">
        <f t="shared" si="7"/>
        <v/>
      </c>
      <c r="AO22" s="433" t="str">
        <f t="shared" si="17"/>
        <v/>
      </c>
      <c r="AP22" s="433" t="str">
        <f>IF(AF22="Pass",AM22*'HVAC References'!$H$12,"")</f>
        <v/>
      </c>
      <c r="AQ22" s="433" t="str">
        <f>IF(AF22="Pass",IF(AI22=3,IF(J22=1,0.012*(1/I22)*U22)-AN22*'HVAC References'!$H$12,0),"")</f>
        <v/>
      </c>
      <c r="AR22" s="433" t="str">
        <f t="shared" si="18"/>
        <v/>
      </c>
      <c r="AT22" s="437" t="e">
        <f t="shared" si="10"/>
        <v>#VALUE!</v>
      </c>
      <c r="AU22" s="433" t="e">
        <f t="shared" si="11"/>
        <v>#VALUE!</v>
      </c>
      <c r="AV22" s="433" t="e">
        <f t="shared" si="12"/>
        <v>#VALUE!</v>
      </c>
      <c r="AW22" s="433" t="e">
        <f t="shared" si="13"/>
        <v>#VALUE!</v>
      </c>
      <c r="AY22" s="571" t="str">
        <f>IF('HVAC Inputs'!P32="","",'HVAC Inputs'!P32*S22)</f>
        <v/>
      </c>
      <c r="AZ22" s="441">
        <f>IF(AF22="Pass",IF('HVAC References'!$K$12="Yes",INDEX('HVAC References'!$E$35:$X$57,MATCH(P22,'HVAC References'!$E$35:$E$57,0),20),INDEX('HVAC References'!$E$35:$X$57,MATCH(P22,'HVAC References'!$E$35:$E$57,0),12)),0)</f>
        <v>0</v>
      </c>
      <c r="BA22" s="441">
        <f t="shared" si="14"/>
        <v>0</v>
      </c>
      <c r="BB22" s="1264"/>
    </row>
    <row r="23" spans="1:54" x14ac:dyDescent="0.25">
      <c r="A23" s="429">
        <v>18</v>
      </c>
      <c r="B23" s="428" t="str">
        <f>IF(AG23="","",IF('HVAC Inputs'!$F$6="","",'HVAC Inputs'!$F$6))</f>
        <v/>
      </c>
      <c r="C23" s="428" t="str">
        <f>IF(M23="","",'HVAC Inputs'!R33)</f>
        <v/>
      </c>
      <c r="D23" s="428" t="str">
        <f>IF(M23="","",'HVAC Inputs'!S33)</f>
        <v/>
      </c>
      <c r="E23" s="428" t="str">
        <f>IF(M23="","",IF(AI23=2,"",IF('HVAC Inputs'!U33="",IF(OR(D23='HVAC References'!$F$9,D23='HVAC References'!$F$4),INDEX('HVAC References'!$E$35:$N$57,MATCH(P23,'HVAC References'!$E$35:$E$57,0),5),INDEX('HVAC References'!$E$35:$N$57,MATCH(P23,'HVAC References'!$E$35:$E$57,0),4)),'HVAC Inputs'!U33)))</f>
        <v/>
      </c>
      <c r="F23" s="437" t="str">
        <f>IF(M23="","",IF(OR(AI23=2,AI23=3),IF('HVAC Inputs'!V33="",IF(OR(D23='HVAC References'!$F$9,D23='HVAC References'!$F$4),INDEX('HVAC References'!$E$35:$N$57,MATCH(P23,'HVAC References'!$E$35:$E$57,0),3),INDEX('HVAC References'!$E$35:$N$57,MATCH(P23,'HVAC References'!$E$35:$E$57,0),2)),'HVAC Inputs'!V33)-(0.3*((R23*12000)/1000)),IF('HVAC Inputs'!V33="",IF(OR(D23='HVAC References'!$F$9,D23='HVAC References'!$F$4),INDEX('HVAC References'!$E$35:$N$57,MATCH(P23,'HVAC References'!$E$35:$E$57,0),3),INDEX('HVAC References'!$E$35:$N$57,MATCH(P23,'HVAC References'!$E$35:$E$57,0),2)),'HVAC Inputs'!V33)))</f>
        <v/>
      </c>
      <c r="G23" s="428" t="str">
        <f>IF(M23="","",IF(AI23=3,IF('HVAC Inputs'!X33="",INDEX('HVAC References'!$E$35:$L$57,MATCH(P23,'HVAC References'!$E$35:$E$57,0),6),'HVAC Inputs'!X33)-(0.052*((R23*12000)/1000)),""))</f>
        <v/>
      </c>
      <c r="H23" s="428" t="str">
        <f>IF('HVAC Inputs'!W33="","",'HVAC Inputs'!W33)</f>
        <v/>
      </c>
      <c r="I23" s="435" t="str">
        <f>IF('HVAC Inputs'!Y33="",IF(OR(D23='HVAC References'!$Z$35,D23='HVAC References'!$Z$39,D23=""),"",INDEX('HVAC References'!$Z$35:$AA$40,MATCH(D23,'HVAC References'!$Z$35:$Z$40,0),2)),'HVAC Inputs'!Y33)</f>
        <v/>
      </c>
      <c r="J23" s="436">
        <f>IF(D23='HVAC References'!$F$4,0,1)</f>
        <v>1</v>
      </c>
      <c r="K23" s="436">
        <f>IF(D23='HVAC References'!$F$4,1,0)</f>
        <v>0</v>
      </c>
      <c r="M23" s="437" t="str">
        <f>IF('HVAC Inputs'!B33="","",'HVAC Inputs'!B33)</f>
        <v/>
      </c>
      <c r="N23" s="433" t="str">
        <f>IF(M23="","",'HVAC Inputs'!C33)</f>
        <v/>
      </c>
      <c r="O23" s="433" t="str">
        <f>IF(M23="","",'HVAC Inputs'!D33)</f>
        <v/>
      </c>
      <c r="P23" s="433" t="str">
        <f t="shared" si="15"/>
        <v xml:space="preserve">  </v>
      </c>
      <c r="Q23" s="433" t="str">
        <f>IF(M23="","",'HVAC Inputs'!G33)</f>
        <v/>
      </c>
      <c r="R23" s="433" t="str">
        <f>IF(Q23="","",IF(Q23&gt;'HVAC References'!$H$188,'HVAC References'!$H$188,IF(Q23&lt;'HVAC References'!$H$187,'HVAC References'!$H$187,Q23)))</f>
        <v/>
      </c>
      <c r="S23" s="433" t="str">
        <f>IF(M23="","",'HVAC Inputs'!H33)</f>
        <v/>
      </c>
      <c r="T23" s="433" t="str">
        <f>IF(AG23="","",INDEX('HVAC References'!$B$5:$D$26,MATCH(B23,'HVAC References'!$B$5:$B$26,0),2))</f>
        <v/>
      </c>
      <c r="U23" s="433" t="str">
        <f>IF(AG23="","",INDEX('HVAC References'!$B$5:$D$26,MATCH(B23,'HVAC References'!$B$5:$B$26,0),3))</f>
        <v/>
      </c>
      <c r="V23" s="433" t="str">
        <f>IF('HVAC Inputs'!I33="","",'HVAC Inputs'!I33)</f>
        <v/>
      </c>
      <c r="W23" s="433" t="str">
        <f>IF('HVAC Inputs'!J33="","",'HVAC Inputs'!J33)</f>
        <v/>
      </c>
      <c r="X23" s="433" t="str">
        <f>IF('HVAC Inputs'!K33="","",'HVAC Inputs'!K33)</f>
        <v/>
      </c>
      <c r="Y23" s="433" t="str">
        <f>IF('HVAC Inputs'!L33="","",'HVAC Inputs'!L33)</f>
        <v/>
      </c>
      <c r="Z23" s="433" t="str">
        <f>IF(M23="","",INDEX('HVAC References'!$E$35:$P$57,MATCH(P23,'HVAC References'!$E$35:$E$57,0),10))</f>
        <v/>
      </c>
      <c r="AA23" s="433" t="str">
        <f>IF(M23="","",INDEX('HVAC References'!$E$35:$P$57,MATCH(P23,'HVAC References'!$E$35:$E$57,0),9))</f>
        <v/>
      </c>
      <c r="AB23" s="433" t="str">
        <f>IF(M23="","",INDEX('HVAC References'!$E$35:$P$57,MATCH(P23,'HVAC References'!$E$35:$E$57,0),11))</f>
        <v/>
      </c>
      <c r="AC23" s="433" t="str">
        <f t="shared" si="0"/>
        <v/>
      </c>
      <c r="AD23" s="433" t="str">
        <f t="shared" si="1"/>
        <v/>
      </c>
      <c r="AE23" s="433" t="str">
        <f t="shared" si="2"/>
        <v/>
      </c>
      <c r="AF23" s="433" t="str">
        <f t="shared" si="16"/>
        <v>FAIL</v>
      </c>
      <c r="AG23" s="433" t="str">
        <f>IF(AF23="Fail","",INDEX('HVAC References'!$E$35:$R$57,MATCH(P23,'HVAC References'!$E$35:$E$57,0),14))</f>
        <v/>
      </c>
      <c r="AI23" s="546" t="str">
        <f>IF(M23="","",INDEX('HVAC References'!$E$35:$R$57,MATCH(P23,'HVAC References'!$E$35:$E$57,0),13))</f>
        <v/>
      </c>
      <c r="AJ23" s="437" t="str">
        <f t="shared" si="3"/>
        <v/>
      </c>
      <c r="AK23" s="433" t="str">
        <f t="shared" si="4"/>
        <v/>
      </c>
      <c r="AL23" s="433" t="str">
        <f t="shared" si="5"/>
        <v/>
      </c>
      <c r="AM23" s="433" t="str">
        <f t="shared" si="6"/>
        <v/>
      </c>
      <c r="AN23" s="433" t="str">
        <f t="shared" si="7"/>
        <v/>
      </c>
      <c r="AO23" s="433" t="str">
        <f t="shared" si="17"/>
        <v/>
      </c>
      <c r="AP23" s="433" t="str">
        <f>IF(AF23="Pass",AM23*'HVAC References'!$H$12,"")</f>
        <v/>
      </c>
      <c r="AQ23" s="433" t="str">
        <f>IF(AF23="Pass",IF(AI23=3,IF(J23=1,0.012*(1/I23)*U23)-AN23*'HVAC References'!$H$12,0),"")</f>
        <v/>
      </c>
      <c r="AR23" s="433" t="str">
        <f t="shared" si="18"/>
        <v/>
      </c>
      <c r="AT23" s="437" t="e">
        <f t="shared" si="10"/>
        <v>#VALUE!</v>
      </c>
      <c r="AU23" s="433" t="e">
        <f t="shared" si="11"/>
        <v>#VALUE!</v>
      </c>
      <c r="AV23" s="433" t="e">
        <f t="shared" si="12"/>
        <v>#VALUE!</v>
      </c>
      <c r="AW23" s="433" t="e">
        <f t="shared" si="13"/>
        <v>#VALUE!</v>
      </c>
      <c r="AY23" s="571" t="str">
        <f>IF('HVAC Inputs'!P33="","",'HVAC Inputs'!P33*S23)</f>
        <v/>
      </c>
      <c r="AZ23" s="441">
        <f>IF(AF23="Pass",IF('HVAC References'!$K$12="Yes",INDEX('HVAC References'!$E$35:$X$57,MATCH(P23,'HVAC References'!$E$35:$E$57,0),20),INDEX('HVAC References'!$E$35:$X$57,MATCH(P23,'HVAC References'!$E$35:$E$57,0),12)),0)</f>
        <v>0</v>
      </c>
      <c r="BA23" s="441">
        <f t="shared" si="14"/>
        <v>0</v>
      </c>
      <c r="BB23" s="1264"/>
    </row>
    <row r="24" spans="1:54" x14ac:dyDescent="0.25">
      <c r="A24" s="429">
        <v>19</v>
      </c>
      <c r="B24" s="428" t="str">
        <f>IF(AG24="","",IF('HVAC Inputs'!$F$6="","",'HVAC Inputs'!$F$6))</f>
        <v/>
      </c>
      <c r="C24" s="428" t="str">
        <f>IF(M24="","",'HVAC Inputs'!R34)</f>
        <v/>
      </c>
      <c r="D24" s="428" t="str">
        <f>IF(M24="","",'HVAC Inputs'!S34)</f>
        <v/>
      </c>
      <c r="E24" s="428" t="str">
        <f>IF(M24="","",IF(AI24=2,"",IF('HVAC Inputs'!U34="",IF(OR(D24='HVAC References'!$F$9,D24='HVAC References'!$F$4),INDEX('HVAC References'!$E$35:$N$57,MATCH(P24,'HVAC References'!$E$35:$E$57,0),5),INDEX('HVAC References'!$E$35:$N$57,MATCH(P24,'HVAC References'!$E$35:$E$57,0),4)),'HVAC Inputs'!U34)))</f>
        <v/>
      </c>
      <c r="F24" s="437" t="str">
        <f>IF(M24="","",IF(OR(AI24=2,AI24=3),IF('HVAC Inputs'!V34="",IF(OR(D24='HVAC References'!$F$9,D24='HVAC References'!$F$4),INDEX('HVAC References'!$E$35:$N$57,MATCH(P24,'HVAC References'!$E$35:$E$57,0),3),INDEX('HVAC References'!$E$35:$N$57,MATCH(P24,'HVAC References'!$E$35:$E$57,0),2)),'HVAC Inputs'!V34)-(0.3*((R24*12000)/1000)),IF('HVAC Inputs'!V34="",IF(OR(D24='HVAC References'!$F$9,D24='HVAC References'!$F$4),INDEX('HVAC References'!$E$35:$N$57,MATCH(P24,'HVAC References'!$E$35:$E$57,0),3),INDEX('HVAC References'!$E$35:$N$57,MATCH(P24,'HVAC References'!$E$35:$E$57,0),2)),'HVAC Inputs'!V34)))</f>
        <v/>
      </c>
      <c r="G24" s="428" t="str">
        <f>IF(M24="","",IF(AI24=3,IF('HVAC Inputs'!X34="",INDEX('HVAC References'!$E$35:$L$57,MATCH(P24,'HVAC References'!$E$35:$E$57,0),6),'HVAC Inputs'!X34)-(0.052*((R24*12000)/1000)),""))</f>
        <v/>
      </c>
      <c r="H24" s="428" t="str">
        <f>IF('HVAC Inputs'!W34="","",'HVAC Inputs'!W34)</f>
        <v/>
      </c>
      <c r="I24" s="435" t="str">
        <f>IF('HVAC Inputs'!Y34="",IF(OR(D24='HVAC References'!$Z$35,D24='HVAC References'!$Z$39,D24=""),"",INDEX('HVAC References'!$Z$35:$AA$40,MATCH(D24,'HVAC References'!$Z$35:$Z$40,0),2)),'HVAC Inputs'!Y34)</f>
        <v/>
      </c>
      <c r="J24" s="436">
        <f>IF(D24='HVAC References'!$F$4,0,1)</f>
        <v>1</v>
      </c>
      <c r="K24" s="436">
        <f>IF(D24='HVAC References'!$F$4,1,0)</f>
        <v>0</v>
      </c>
      <c r="M24" s="437" t="str">
        <f>IF('HVAC Inputs'!B34="","",'HVAC Inputs'!B34)</f>
        <v/>
      </c>
      <c r="N24" s="433" t="str">
        <f>IF(M24="","",'HVAC Inputs'!C34)</f>
        <v/>
      </c>
      <c r="O24" s="433" t="str">
        <f>IF(M24="","",'HVAC Inputs'!D34)</f>
        <v/>
      </c>
      <c r="P24" s="433" t="str">
        <f t="shared" si="15"/>
        <v xml:space="preserve">  </v>
      </c>
      <c r="Q24" s="433" t="str">
        <f>IF(M24="","",'HVAC Inputs'!G34)</f>
        <v/>
      </c>
      <c r="R24" s="433" t="str">
        <f>IF(Q24="","",IF(Q24&gt;'HVAC References'!$H$188,'HVAC References'!$H$188,IF(Q24&lt;'HVAC References'!$H$187,'HVAC References'!$H$187,Q24)))</f>
        <v/>
      </c>
      <c r="S24" s="433" t="str">
        <f>IF(M24="","",'HVAC Inputs'!H34)</f>
        <v/>
      </c>
      <c r="T24" s="433" t="str">
        <f>IF(AG24="","",INDEX('HVAC References'!$B$5:$D$26,MATCH(B24,'HVAC References'!$B$5:$B$26,0),2))</f>
        <v/>
      </c>
      <c r="U24" s="433" t="str">
        <f>IF(AG24="","",INDEX('HVAC References'!$B$5:$D$26,MATCH(B24,'HVAC References'!$B$5:$B$26,0),3))</f>
        <v/>
      </c>
      <c r="V24" s="433" t="str">
        <f>IF('HVAC Inputs'!I34="","",'HVAC Inputs'!I34)</f>
        <v/>
      </c>
      <c r="W24" s="433" t="str">
        <f>IF('HVAC Inputs'!J34="","",'HVAC Inputs'!J34)</f>
        <v/>
      </c>
      <c r="X24" s="433" t="str">
        <f>IF('HVAC Inputs'!K34="","",'HVAC Inputs'!K34)</f>
        <v/>
      </c>
      <c r="Y24" s="433" t="str">
        <f>IF('HVAC Inputs'!L34="","",'HVAC Inputs'!L34)</f>
        <v/>
      </c>
      <c r="Z24" s="433" t="str">
        <f>IF(M24="","",INDEX('HVAC References'!$E$35:$P$57,MATCH(P24,'HVAC References'!$E$35:$E$57,0),10))</f>
        <v/>
      </c>
      <c r="AA24" s="433" t="str">
        <f>IF(M24="","",INDEX('HVAC References'!$E$35:$P$57,MATCH(P24,'HVAC References'!$E$35:$E$57,0),9))</f>
        <v/>
      </c>
      <c r="AB24" s="433" t="str">
        <f>IF(M24="","",INDEX('HVAC References'!$E$35:$P$57,MATCH(P24,'HVAC References'!$E$35:$E$57,0),11))</f>
        <v/>
      </c>
      <c r="AC24" s="433" t="str">
        <f t="shared" si="0"/>
        <v/>
      </c>
      <c r="AD24" s="433" t="str">
        <f t="shared" si="1"/>
        <v/>
      </c>
      <c r="AE24" s="433" t="str">
        <f t="shared" si="2"/>
        <v/>
      </c>
      <c r="AF24" s="433" t="str">
        <f t="shared" si="16"/>
        <v>FAIL</v>
      </c>
      <c r="AG24" s="433" t="str">
        <f>IF(AF24="Fail","",INDEX('HVAC References'!$E$35:$R$57,MATCH(P24,'HVAC References'!$E$35:$E$57,0),14))</f>
        <v/>
      </c>
      <c r="AI24" s="546" t="str">
        <f>IF(M24="","",INDEX('HVAC References'!$E$35:$R$57,MATCH(P24,'HVAC References'!$E$35:$E$57,0),13))</f>
        <v/>
      </c>
      <c r="AJ24" s="437" t="str">
        <f t="shared" si="3"/>
        <v/>
      </c>
      <c r="AK24" s="433" t="str">
        <f t="shared" si="4"/>
        <v/>
      </c>
      <c r="AL24" s="433" t="str">
        <f t="shared" si="5"/>
        <v/>
      </c>
      <c r="AM24" s="433" t="str">
        <f t="shared" si="6"/>
        <v/>
      </c>
      <c r="AN24" s="433" t="str">
        <f t="shared" si="7"/>
        <v/>
      </c>
      <c r="AO24" s="433" t="str">
        <f t="shared" si="17"/>
        <v/>
      </c>
      <c r="AP24" s="433" t="str">
        <f>IF(AF24="Pass",AM24*'HVAC References'!$H$12,"")</f>
        <v/>
      </c>
      <c r="AQ24" s="433" t="str">
        <f>IF(AF24="Pass",IF(AI24=3,IF(J24=1,0.012*(1/I24)*U24)-AN24*'HVAC References'!$H$12,0),"")</f>
        <v/>
      </c>
      <c r="AR24" s="433" t="str">
        <f t="shared" si="18"/>
        <v/>
      </c>
      <c r="AT24" s="437" t="e">
        <f t="shared" si="10"/>
        <v>#VALUE!</v>
      </c>
      <c r="AU24" s="433" t="e">
        <f t="shared" si="11"/>
        <v>#VALUE!</v>
      </c>
      <c r="AV24" s="433" t="e">
        <f t="shared" si="12"/>
        <v>#VALUE!</v>
      </c>
      <c r="AW24" s="433" t="e">
        <f t="shared" si="13"/>
        <v>#VALUE!</v>
      </c>
      <c r="AY24" s="571" t="str">
        <f>IF('HVAC Inputs'!P34="","",'HVAC Inputs'!P34*S24)</f>
        <v/>
      </c>
      <c r="AZ24" s="441">
        <f>IF(AF24="Pass",IF('HVAC References'!$K$12="Yes",INDEX('HVAC References'!$E$35:$X$57,MATCH(P24,'HVAC References'!$E$35:$E$57,0),20),INDEX('HVAC References'!$E$35:$X$57,MATCH(P24,'HVAC References'!$E$35:$E$57,0),12)),0)</f>
        <v>0</v>
      </c>
      <c r="BA24" s="441">
        <f t="shared" si="14"/>
        <v>0</v>
      </c>
      <c r="BB24" s="1264"/>
    </row>
    <row r="25" spans="1:54" x14ac:dyDescent="0.25">
      <c r="A25" s="429">
        <v>20</v>
      </c>
      <c r="B25" s="428" t="str">
        <f>IF(AG25="","",IF('HVAC Inputs'!$F$6="","",'HVAC Inputs'!$F$6))</f>
        <v/>
      </c>
      <c r="C25" s="428" t="str">
        <f>IF(M25="","",'HVAC Inputs'!R35)</f>
        <v/>
      </c>
      <c r="D25" s="428" t="str">
        <f>IF(M25="","",'HVAC Inputs'!S35)</f>
        <v/>
      </c>
      <c r="E25" s="428" t="str">
        <f>IF(M25="","",IF(AI25=2,"",IF('HVAC Inputs'!U35="",IF(OR(D25='HVAC References'!$F$9,D25='HVAC References'!$F$4),INDEX('HVAC References'!$E$35:$N$57,MATCH(P25,'HVAC References'!$E$35:$E$57,0),5),INDEX('HVAC References'!$E$35:$N$57,MATCH(P25,'HVAC References'!$E$35:$E$57,0),4)),'HVAC Inputs'!U35)))</f>
        <v/>
      </c>
      <c r="F25" s="437" t="str">
        <f>IF(M25="","",IF(OR(AI25=2,AI25=3),IF('HVAC Inputs'!V35="",IF(OR(D25='HVAC References'!$F$9,D25='HVAC References'!$F$4),INDEX('HVAC References'!$E$35:$N$57,MATCH(P25,'HVAC References'!$E$35:$E$57,0),3),INDEX('HVAC References'!$E$35:$N$57,MATCH(P25,'HVAC References'!$E$35:$E$57,0),2)),'HVAC Inputs'!V35)-(0.3*((R25*12000)/1000)),IF('HVAC Inputs'!V35="",IF(OR(D25='HVAC References'!$F$9,D25='HVAC References'!$F$4),INDEX('HVAC References'!$E$35:$N$57,MATCH(P25,'HVAC References'!$E$35:$E$57,0),3),INDEX('HVAC References'!$E$35:$N$57,MATCH(P25,'HVAC References'!$E$35:$E$57,0),2)),'HVAC Inputs'!V35)))</f>
        <v/>
      </c>
      <c r="G25" s="428" t="str">
        <f>IF(M25="","",IF(AI25=3,IF('HVAC Inputs'!X35="",INDEX('HVAC References'!$E$35:$L$57,MATCH(P25,'HVAC References'!$E$35:$E$57,0),6),'HVAC Inputs'!X35)-(0.052*((R25*12000)/1000)),""))</f>
        <v/>
      </c>
      <c r="H25" s="428" t="str">
        <f>IF('HVAC Inputs'!W35="","",'HVAC Inputs'!W35)</f>
        <v/>
      </c>
      <c r="I25" s="435" t="str">
        <f>IF('HVAC Inputs'!Y35="",IF(OR(D25='HVAC References'!$Z$35,D25='HVAC References'!$Z$39,D25=""),"",INDEX('HVAC References'!$Z$35:$AA$40,MATCH(D25,'HVAC References'!$Z$35:$Z$40,0),2)),'HVAC Inputs'!Y35)</f>
        <v/>
      </c>
      <c r="J25" s="436">
        <f>IF(D25='HVAC References'!$F$4,0,1)</f>
        <v>1</v>
      </c>
      <c r="K25" s="436">
        <f>IF(D25='HVAC References'!$F$4,1,0)</f>
        <v>0</v>
      </c>
      <c r="M25" s="437" t="str">
        <f>IF('HVAC Inputs'!B35="","",'HVAC Inputs'!B35)</f>
        <v/>
      </c>
      <c r="N25" s="433" t="str">
        <f>IF(M25="","",'HVAC Inputs'!C35)</f>
        <v/>
      </c>
      <c r="O25" s="433" t="str">
        <f>IF(M25="","",'HVAC Inputs'!D35)</f>
        <v/>
      </c>
      <c r="P25" s="433" t="str">
        <f t="shared" si="15"/>
        <v xml:space="preserve">  </v>
      </c>
      <c r="Q25" s="433" t="str">
        <f>IF(M25="","",'HVAC Inputs'!G35)</f>
        <v/>
      </c>
      <c r="R25" s="433" t="str">
        <f>IF(Q25="","",IF(Q25&gt;'HVAC References'!$H$188,'HVAC References'!$H$188,IF(Q25&lt;'HVAC References'!$H$187,'HVAC References'!$H$187,Q25)))</f>
        <v/>
      </c>
      <c r="S25" s="433" t="str">
        <f>IF(M25="","",'HVAC Inputs'!H35)</f>
        <v/>
      </c>
      <c r="T25" s="433" t="str">
        <f>IF(AG25="","",INDEX('HVAC References'!$B$5:$D$26,MATCH(B25,'HVAC References'!$B$5:$B$26,0),2))</f>
        <v/>
      </c>
      <c r="U25" s="433" t="str">
        <f>IF(AG25="","",INDEX('HVAC References'!$B$5:$D$26,MATCH(B25,'HVAC References'!$B$5:$B$26,0),3))</f>
        <v/>
      </c>
      <c r="V25" s="433" t="str">
        <f>IF('HVAC Inputs'!I35="","",'HVAC Inputs'!I35)</f>
        <v/>
      </c>
      <c r="W25" s="433" t="str">
        <f>IF('HVAC Inputs'!J35="","",'HVAC Inputs'!J35)</f>
        <v/>
      </c>
      <c r="X25" s="433" t="str">
        <f>IF('HVAC Inputs'!K35="","",'HVAC Inputs'!K35)</f>
        <v/>
      </c>
      <c r="Y25" s="433" t="str">
        <f>IF('HVAC Inputs'!L35="","",'HVAC Inputs'!L35)</f>
        <v/>
      </c>
      <c r="Z25" s="433" t="str">
        <f>IF(M25="","",INDEX('HVAC References'!$E$35:$P$57,MATCH(P25,'HVAC References'!$E$35:$E$57,0),10))</f>
        <v/>
      </c>
      <c r="AA25" s="433" t="str">
        <f>IF(M25="","",INDEX('HVAC References'!$E$35:$P$57,MATCH(P25,'HVAC References'!$E$35:$E$57,0),9))</f>
        <v/>
      </c>
      <c r="AB25" s="433" t="str">
        <f>IF(M25="","",INDEX('HVAC References'!$E$35:$P$57,MATCH(P25,'HVAC References'!$E$35:$E$57,0),11))</f>
        <v/>
      </c>
      <c r="AC25" s="433" t="str">
        <f t="shared" si="0"/>
        <v/>
      </c>
      <c r="AD25" s="433" t="str">
        <f t="shared" si="1"/>
        <v/>
      </c>
      <c r="AE25" s="433" t="str">
        <f t="shared" si="2"/>
        <v/>
      </c>
      <c r="AF25" s="433" t="str">
        <f t="shared" si="16"/>
        <v>FAIL</v>
      </c>
      <c r="AG25" s="433" t="str">
        <f>IF(AF25="Fail","",INDEX('HVAC References'!$E$35:$R$57,MATCH(P25,'HVAC References'!$E$35:$E$57,0),14))</f>
        <v/>
      </c>
      <c r="AI25" s="546" t="str">
        <f>IF(M25="","",INDEX('HVAC References'!$E$35:$R$57,MATCH(P25,'HVAC References'!$E$35:$E$57,0),13))</f>
        <v/>
      </c>
      <c r="AJ25" s="437" t="str">
        <f t="shared" si="3"/>
        <v/>
      </c>
      <c r="AK25" s="433" t="str">
        <f t="shared" si="4"/>
        <v/>
      </c>
      <c r="AL25" s="433" t="str">
        <f t="shared" si="5"/>
        <v/>
      </c>
      <c r="AM25" s="433" t="str">
        <f t="shared" si="6"/>
        <v/>
      </c>
      <c r="AN25" s="433" t="str">
        <f t="shared" si="7"/>
        <v/>
      </c>
      <c r="AO25" s="433" t="str">
        <f t="shared" si="17"/>
        <v/>
      </c>
      <c r="AP25" s="433" t="str">
        <f>IF(AF25="Pass",AM25*'HVAC References'!$H$12,"")</f>
        <v/>
      </c>
      <c r="AQ25" s="433" t="str">
        <f>IF(AF25="Pass",IF(AI25=3,IF(J25=1,0.012*(1/I25)*U25)-AN25*'HVAC References'!$H$12,0),"")</f>
        <v/>
      </c>
      <c r="AR25" s="433" t="str">
        <f t="shared" si="18"/>
        <v/>
      </c>
      <c r="AT25" s="437" t="e">
        <f t="shared" si="10"/>
        <v>#VALUE!</v>
      </c>
      <c r="AU25" s="433" t="e">
        <f t="shared" si="11"/>
        <v>#VALUE!</v>
      </c>
      <c r="AV25" s="433" t="e">
        <f t="shared" si="12"/>
        <v>#VALUE!</v>
      </c>
      <c r="AW25" s="433" t="e">
        <f t="shared" si="13"/>
        <v>#VALUE!</v>
      </c>
      <c r="AY25" s="571" t="str">
        <f>IF('HVAC Inputs'!P35="","",'HVAC Inputs'!P35*S25)</f>
        <v/>
      </c>
      <c r="AZ25" s="441">
        <f>IF(AF25="Pass",IF('HVAC References'!$K$12="Yes",INDEX('HVAC References'!$E$35:$X$57,MATCH(P25,'HVAC References'!$E$35:$E$57,0),20),INDEX('HVAC References'!$E$35:$X$57,MATCH(P25,'HVAC References'!$E$35:$E$57,0),12)),0)</f>
        <v>0</v>
      </c>
      <c r="BA25" s="441">
        <f t="shared" si="14"/>
        <v>0</v>
      </c>
      <c r="BB25" s="1264"/>
    </row>
    <row r="26" spans="1:54" x14ac:dyDescent="0.25">
      <c r="A26" s="429">
        <v>21</v>
      </c>
      <c r="B26" s="428" t="str">
        <f>IF(AG26="","",IF('HVAC Inputs'!$F$6="","",'HVAC Inputs'!$F$6))</f>
        <v/>
      </c>
      <c r="C26" s="428" t="str">
        <f>IF(M26="","",'HVAC Inputs'!R36)</f>
        <v/>
      </c>
      <c r="D26" s="428" t="str">
        <f>IF(M26="","",'HVAC Inputs'!S36)</f>
        <v/>
      </c>
      <c r="E26" s="428" t="str">
        <f>IF(M26="","",IF(AI26=2,"",IF('HVAC Inputs'!U36="",IF(OR(D26='HVAC References'!$F$9,D26='HVAC References'!$F$4),INDEX('HVAC References'!$E$35:$N$57,MATCH(P26,'HVAC References'!$E$35:$E$57,0),5),INDEX('HVAC References'!$E$35:$N$57,MATCH(P26,'HVAC References'!$E$35:$E$57,0),4)),'HVAC Inputs'!U36)))</f>
        <v/>
      </c>
      <c r="F26" s="437" t="str">
        <f>IF(M26="","",IF(OR(AI26=2,AI26=3),IF('HVAC Inputs'!V36="",IF(OR(D26='HVAC References'!$F$9,D26='HVAC References'!$F$4),INDEX('HVAC References'!$E$35:$N$57,MATCH(P26,'HVAC References'!$E$35:$E$57,0),3),INDEX('HVAC References'!$E$35:$N$57,MATCH(P26,'HVAC References'!$E$35:$E$57,0),2)),'HVAC Inputs'!V36)-(0.3*((R26*12000)/1000)),IF('HVAC Inputs'!V36="",IF(OR(D26='HVAC References'!$F$9,D26='HVAC References'!$F$4),INDEX('HVAC References'!$E$35:$N$57,MATCH(P26,'HVAC References'!$E$35:$E$57,0),3),INDEX('HVAC References'!$E$35:$N$57,MATCH(P26,'HVAC References'!$E$35:$E$57,0),2)),'HVAC Inputs'!V36)))</f>
        <v/>
      </c>
      <c r="G26" s="428" t="str">
        <f>IF(M26="","",IF(AI26=3,IF('HVAC Inputs'!X36="",INDEX('HVAC References'!$E$35:$L$57,MATCH(P26,'HVAC References'!$E$35:$E$57,0),6),'HVAC Inputs'!X36)-(0.052*((R26*12000)/1000)),""))</f>
        <v/>
      </c>
      <c r="H26" s="428" t="str">
        <f>IF('HVAC Inputs'!W36="","",'HVAC Inputs'!W36)</f>
        <v/>
      </c>
      <c r="I26" s="435" t="str">
        <f>IF('HVAC Inputs'!Y36="",IF(OR(D26='HVAC References'!$Z$35,D26='HVAC References'!$Z$39,D26=""),"",INDEX('HVAC References'!$Z$35:$AA$40,MATCH(D26,'HVAC References'!$Z$35:$Z$40,0),2)),'HVAC Inputs'!Y36)</f>
        <v/>
      </c>
      <c r="J26" s="436">
        <f>IF(D26='HVAC References'!$F$4,0,1)</f>
        <v>1</v>
      </c>
      <c r="K26" s="436">
        <f>IF(D26='HVAC References'!$F$4,1,0)</f>
        <v>0</v>
      </c>
      <c r="M26" s="437" t="str">
        <f>IF('HVAC Inputs'!B36="","",'HVAC Inputs'!B36)</f>
        <v/>
      </c>
      <c r="N26" s="433" t="str">
        <f>IF(M26="","",'HVAC Inputs'!C36)</f>
        <v/>
      </c>
      <c r="O26" s="433" t="str">
        <f>IF(M26="","",'HVAC Inputs'!D36)</f>
        <v/>
      </c>
      <c r="P26" s="433" t="str">
        <f t="shared" si="15"/>
        <v xml:space="preserve">  </v>
      </c>
      <c r="Q26" s="433" t="str">
        <f>IF(M26="","",'HVAC Inputs'!G36)</f>
        <v/>
      </c>
      <c r="R26" s="433" t="str">
        <f>IF(Q26="","",IF(Q26&gt;'HVAC References'!$H$188,'HVAC References'!$H$188,IF(Q26&lt;'HVAC References'!$H$187,'HVAC References'!$H$187,Q26)))</f>
        <v/>
      </c>
      <c r="S26" s="433" t="str">
        <f>IF(M26="","",'HVAC Inputs'!H36)</f>
        <v/>
      </c>
      <c r="T26" s="433" t="str">
        <f>IF(AG26="","",INDEX('HVAC References'!$B$5:$D$26,MATCH(B26,'HVAC References'!$B$5:$B$26,0),2))</f>
        <v/>
      </c>
      <c r="U26" s="433" t="str">
        <f>IF(AG26="","",INDEX('HVAC References'!$B$5:$D$26,MATCH(B26,'HVAC References'!$B$5:$B$26,0),3))</f>
        <v/>
      </c>
      <c r="V26" s="433" t="str">
        <f>IF('HVAC Inputs'!I36="","",'HVAC Inputs'!I36)</f>
        <v/>
      </c>
      <c r="W26" s="433" t="str">
        <f>IF('HVAC Inputs'!J36="","",'HVAC Inputs'!J36)</f>
        <v/>
      </c>
      <c r="X26" s="433" t="str">
        <f>IF('HVAC Inputs'!K36="","",'HVAC Inputs'!K36)</f>
        <v/>
      </c>
      <c r="Y26" s="433" t="str">
        <f>IF('HVAC Inputs'!L36="","",'HVAC Inputs'!L36)</f>
        <v/>
      </c>
      <c r="Z26" s="433" t="str">
        <f>IF(M26="","",INDEX('HVAC References'!$E$35:$P$57,MATCH(P26,'HVAC References'!$E$35:$E$57,0),10))</f>
        <v/>
      </c>
      <c r="AA26" s="433" t="str">
        <f>IF(M26="","",INDEX('HVAC References'!$E$35:$P$57,MATCH(P26,'HVAC References'!$E$35:$E$57,0),9))</f>
        <v/>
      </c>
      <c r="AB26" s="433" t="str">
        <f>IF(M26="","",INDEX('HVAC References'!$E$35:$P$57,MATCH(P26,'HVAC References'!$E$35:$E$57,0),11))</f>
        <v/>
      </c>
      <c r="AC26" s="433" t="str">
        <f t="shared" si="0"/>
        <v/>
      </c>
      <c r="AD26" s="433" t="str">
        <f t="shared" si="1"/>
        <v/>
      </c>
      <c r="AE26" s="433" t="str">
        <f t="shared" si="2"/>
        <v/>
      </c>
      <c r="AF26" s="433" t="str">
        <f t="shared" si="16"/>
        <v>FAIL</v>
      </c>
      <c r="AG26" s="433" t="str">
        <f>IF(AF26="Fail","",INDEX('HVAC References'!$E$35:$R$57,MATCH(P26,'HVAC References'!$E$35:$E$57,0),14))</f>
        <v/>
      </c>
      <c r="AI26" s="546" t="str">
        <f>IF(M26="","",INDEX('HVAC References'!$E$35:$R$57,MATCH(P26,'HVAC References'!$E$35:$E$57,0),13))</f>
        <v/>
      </c>
      <c r="AJ26" s="437" t="str">
        <f t="shared" si="3"/>
        <v/>
      </c>
      <c r="AK26" s="433" t="str">
        <f t="shared" si="4"/>
        <v/>
      </c>
      <c r="AL26" s="433" t="str">
        <f t="shared" si="5"/>
        <v/>
      </c>
      <c r="AM26" s="433" t="str">
        <f t="shared" si="6"/>
        <v/>
      </c>
      <c r="AN26" s="433" t="str">
        <f t="shared" si="7"/>
        <v/>
      </c>
      <c r="AO26" s="433" t="str">
        <f t="shared" si="17"/>
        <v/>
      </c>
      <c r="AP26" s="433" t="str">
        <f>IF(AF26="Pass",AM26*'HVAC References'!$H$12,"")</f>
        <v/>
      </c>
      <c r="AQ26" s="433" t="str">
        <f>IF(AF26="Pass",IF(AI26=3,IF(J26=1,0.012*(1/I26)*U26)-AN26*'HVAC References'!$H$12,0),"")</f>
        <v/>
      </c>
      <c r="AR26" s="433" t="str">
        <f t="shared" si="18"/>
        <v/>
      </c>
      <c r="AT26" s="437" t="e">
        <f t="shared" si="10"/>
        <v>#VALUE!</v>
      </c>
      <c r="AU26" s="433" t="e">
        <f t="shared" si="11"/>
        <v>#VALUE!</v>
      </c>
      <c r="AV26" s="433" t="e">
        <f t="shared" si="12"/>
        <v>#VALUE!</v>
      </c>
      <c r="AW26" s="433" t="e">
        <f t="shared" si="13"/>
        <v>#VALUE!</v>
      </c>
      <c r="AY26" s="571" t="str">
        <f>IF('HVAC Inputs'!P36="","",'HVAC Inputs'!P36*S26)</f>
        <v/>
      </c>
      <c r="AZ26" s="441">
        <f>IF(AF26="Pass",IF('HVAC References'!$K$12="Yes",INDEX('HVAC References'!$E$35:$X$57,MATCH(P26,'HVAC References'!$E$35:$E$57,0),20),INDEX('HVAC References'!$E$35:$X$57,MATCH(P26,'HVAC References'!$E$35:$E$57,0),12)),0)</f>
        <v>0</v>
      </c>
      <c r="BA26" s="441">
        <f t="shared" si="14"/>
        <v>0</v>
      </c>
      <c r="BB26" s="1264"/>
    </row>
    <row r="27" spans="1:54" x14ac:dyDescent="0.25">
      <c r="A27" s="429">
        <v>22</v>
      </c>
      <c r="B27" s="428" t="str">
        <f>IF(AG27="","",IF('HVAC Inputs'!$F$6="","",'HVAC Inputs'!$F$6))</f>
        <v/>
      </c>
      <c r="C27" s="428" t="str">
        <f>IF(M27="","",'HVAC Inputs'!R37)</f>
        <v/>
      </c>
      <c r="D27" s="428" t="str">
        <f>IF(M27="","",'HVAC Inputs'!S37)</f>
        <v/>
      </c>
      <c r="E27" s="428" t="str">
        <f>IF(M27="","",IF(AI27=2,"",IF('HVAC Inputs'!U37="",IF(OR(D27='HVAC References'!$F$9,D27='HVAC References'!$F$4),INDEX('HVAC References'!$E$35:$N$57,MATCH(P27,'HVAC References'!$E$35:$E$57,0),5),INDEX('HVAC References'!$E$35:$N$57,MATCH(P27,'HVAC References'!$E$35:$E$57,0),4)),'HVAC Inputs'!U37)))</f>
        <v/>
      </c>
      <c r="F27" s="437" t="str">
        <f>IF(M27="","",IF(OR(AI27=2,AI27=3),IF('HVAC Inputs'!V37="",IF(OR(D27='HVAC References'!$F$9,D27='HVAC References'!$F$4),INDEX('HVAC References'!$E$35:$N$57,MATCH(P27,'HVAC References'!$E$35:$E$57,0),3),INDEX('HVAC References'!$E$35:$N$57,MATCH(P27,'HVAC References'!$E$35:$E$57,0),2)),'HVAC Inputs'!V37)-(0.3*((R27*12000)/1000)),IF('HVAC Inputs'!V37="",IF(OR(D27='HVAC References'!$F$9,D27='HVAC References'!$F$4),INDEX('HVAC References'!$E$35:$N$57,MATCH(P27,'HVAC References'!$E$35:$E$57,0),3),INDEX('HVAC References'!$E$35:$N$57,MATCH(P27,'HVAC References'!$E$35:$E$57,0),2)),'HVAC Inputs'!V37)))</f>
        <v/>
      </c>
      <c r="G27" s="428" t="str">
        <f>IF(M27="","",IF(AI27=3,IF('HVAC Inputs'!X37="",INDEX('HVAC References'!$E$35:$L$57,MATCH(P27,'HVAC References'!$E$35:$E$57,0),6),'HVAC Inputs'!X37)-(0.052*((R27*12000)/1000)),""))</f>
        <v/>
      </c>
      <c r="H27" s="428" t="str">
        <f>IF('HVAC Inputs'!W37="","",'HVAC Inputs'!W37)</f>
        <v/>
      </c>
      <c r="I27" s="435" t="str">
        <f>IF('HVAC Inputs'!Y37="",IF(OR(D27='HVAC References'!$Z$35,D27='HVAC References'!$Z$39,D27=""),"",INDEX('HVAC References'!$Z$35:$AA$40,MATCH(D27,'HVAC References'!$Z$35:$Z$40,0),2)),'HVAC Inputs'!Y37)</f>
        <v/>
      </c>
      <c r="J27" s="436">
        <f>IF(D27='HVAC References'!$F$4,0,1)</f>
        <v>1</v>
      </c>
      <c r="K27" s="436">
        <f>IF(D27='HVAC References'!$F$4,1,0)</f>
        <v>0</v>
      </c>
      <c r="M27" s="437" t="str">
        <f>IF('HVAC Inputs'!B37="","",'HVAC Inputs'!B37)</f>
        <v/>
      </c>
      <c r="N27" s="433" t="str">
        <f>IF(M27="","",'HVAC Inputs'!C37)</f>
        <v/>
      </c>
      <c r="O27" s="433" t="str">
        <f>IF(M27="","",'HVAC Inputs'!D37)</f>
        <v/>
      </c>
      <c r="P27" s="433" t="str">
        <f t="shared" si="15"/>
        <v xml:space="preserve">  </v>
      </c>
      <c r="Q27" s="433" t="str">
        <f>IF(M27="","",'HVAC Inputs'!G37)</f>
        <v/>
      </c>
      <c r="R27" s="433" t="str">
        <f>IF(Q27="","",IF(Q27&gt;'HVAC References'!$H$188,'HVAC References'!$H$188,IF(Q27&lt;'HVAC References'!$H$187,'HVAC References'!$H$187,Q27)))</f>
        <v/>
      </c>
      <c r="S27" s="433" t="str">
        <f>IF(M27="","",'HVAC Inputs'!H37)</f>
        <v/>
      </c>
      <c r="T27" s="433" t="str">
        <f>IF(AG27="","",INDEX('HVAC References'!$B$5:$D$26,MATCH(B27,'HVAC References'!$B$5:$B$26,0),2))</f>
        <v/>
      </c>
      <c r="U27" s="433" t="str">
        <f>IF(AG27="","",INDEX('HVAC References'!$B$5:$D$26,MATCH(B27,'HVAC References'!$B$5:$B$26,0),3))</f>
        <v/>
      </c>
      <c r="V27" s="433" t="str">
        <f>IF('HVAC Inputs'!I37="","",'HVAC Inputs'!I37)</f>
        <v/>
      </c>
      <c r="W27" s="433" t="str">
        <f>IF('HVAC Inputs'!J37="","",'HVAC Inputs'!J37)</f>
        <v/>
      </c>
      <c r="X27" s="433" t="str">
        <f>IF('HVAC Inputs'!K37="","",'HVAC Inputs'!K37)</f>
        <v/>
      </c>
      <c r="Y27" s="433" t="str">
        <f>IF('HVAC Inputs'!L37="","",'HVAC Inputs'!L37)</f>
        <v/>
      </c>
      <c r="Z27" s="433" t="str">
        <f>IF(M27="","",INDEX('HVAC References'!$E$35:$P$57,MATCH(P27,'HVAC References'!$E$35:$E$57,0),10))</f>
        <v/>
      </c>
      <c r="AA27" s="433" t="str">
        <f>IF(M27="","",INDEX('HVAC References'!$E$35:$P$57,MATCH(P27,'HVAC References'!$E$35:$E$57,0),9))</f>
        <v/>
      </c>
      <c r="AB27" s="433" t="str">
        <f>IF(M27="","",INDEX('HVAC References'!$E$35:$P$57,MATCH(P27,'HVAC References'!$E$35:$E$57,0),11))</f>
        <v/>
      </c>
      <c r="AC27" s="433" t="str">
        <f t="shared" si="0"/>
        <v/>
      </c>
      <c r="AD27" s="433" t="str">
        <f t="shared" si="1"/>
        <v/>
      </c>
      <c r="AE27" s="433" t="str">
        <f t="shared" si="2"/>
        <v/>
      </c>
      <c r="AF27" s="433" t="str">
        <f t="shared" si="16"/>
        <v>FAIL</v>
      </c>
      <c r="AG27" s="433" t="str">
        <f>IF(AF27="Fail","",INDEX('HVAC References'!$E$35:$R$57,MATCH(P27,'HVAC References'!$E$35:$E$57,0),14))</f>
        <v/>
      </c>
      <c r="AI27" s="546" t="str">
        <f>IF(M27="","",INDEX('HVAC References'!$E$35:$R$57,MATCH(P27,'HVAC References'!$E$35:$E$57,0),13))</f>
        <v/>
      </c>
      <c r="AJ27" s="437" t="str">
        <f t="shared" si="3"/>
        <v/>
      </c>
      <c r="AK27" s="433" t="str">
        <f t="shared" si="4"/>
        <v/>
      </c>
      <c r="AL27" s="433" t="str">
        <f t="shared" si="5"/>
        <v/>
      </c>
      <c r="AM27" s="433" t="str">
        <f t="shared" si="6"/>
        <v/>
      </c>
      <c r="AN27" s="433" t="str">
        <f t="shared" si="7"/>
        <v/>
      </c>
      <c r="AO27" s="433" t="str">
        <f t="shared" si="17"/>
        <v/>
      </c>
      <c r="AP27" s="433" t="str">
        <f>IF(AF27="Pass",AM27*'HVAC References'!$H$12,"")</f>
        <v/>
      </c>
      <c r="AQ27" s="433" t="str">
        <f>IF(AF27="Pass",IF(AI27=3,IF(J27=1,0.012*(1/I27)*U27)-AN27*'HVAC References'!$H$12,0),"")</f>
        <v/>
      </c>
      <c r="AR27" s="433" t="str">
        <f t="shared" si="18"/>
        <v/>
      </c>
      <c r="AT27" s="437" t="e">
        <f t="shared" si="10"/>
        <v>#VALUE!</v>
      </c>
      <c r="AU27" s="433" t="e">
        <f t="shared" si="11"/>
        <v>#VALUE!</v>
      </c>
      <c r="AV27" s="433" t="e">
        <f t="shared" si="12"/>
        <v>#VALUE!</v>
      </c>
      <c r="AW27" s="433" t="e">
        <f t="shared" si="13"/>
        <v>#VALUE!</v>
      </c>
      <c r="AY27" s="571" t="str">
        <f>IF('HVAC Inputs'!P37="","",'HVAC Inputs'!P37*S27)</f>
        <v/>
      </c>
      <c r="AZ27" s="441">
        <f>IF(AF27="Pass",IF('HVAC References'!$K$12="Yes",INDEX('HVAC References'!$E$35:$X$57,MATCH(P27,'HVAC References'!$E$35:$E$57,0),20),INDEX('HVAC References'!$E$35:$X$57,MATCH(P27,'HVAC References'!$E$35:$E$57,0),12)),0)</f>
        <v>0</v>
      </c>
      <c r="BA27" s="441">
        <f t="shared" si="14"/>
        <v>0</v>
      </c>
      <c r="BB27" s="1264"/>
    </row>
    <row r="28" spans="1:54" x14ac:dyDescent="0.25">
      <c r="A28" s="429">
        <v>23</v>
      </c>
      <c r="B28" s="428" t="str">
        <f>IF(AG28="","",IF('HVAC Inputs'!$F$6="","",'HVAC Inputs'!$F$6))</f>
        <v/>
      </c>
      <c r="C28" s="428" t="str">
        <f>IF(M28="","",'HVAC Inputs'!R38)</f>
        <v/>
      </c>
      <c r="D28" s="428" t="str">
        <f>IF(M28="","",'HVAC Inputs'!S38)</f>
        <v/>
      </c>
      <c r="E28" s="428" t="str">
        <f>IF(M28="","",IF(AI28=2,"",IF('HVAC Inputs'!U38="",IF(OR(D28='HVAC References'!$F$9,D28='HVAC References'!$F$4),INDEX('HVAC References'!$E$35:$N$57,MATCH(P28,'HVAC References'!$E$35:$E$57,0),5),INDEX('HVAC References'!$E$35:$N$57,MATCH(P28,'HVAC References'!$E$35:$E$57,0),4)),'HVAC Inputs'!U38)))</f>
        <v/>
      </c>
      <c r="F28" s="437" t="str">
        <f>IF(M28="","",IF(OR(AI28=2,AI28=3),IF('HVAC Inputs'!V38="",IF(OR(D28='HVAC References'!$F$9,D28='HVAC References'!$F$4),INDEX('HVAC References'!$E$35:$N$57,MATCH(P28,'HVAC References'!$E$35:$E$57,0),3),INDEX('HVAC References'!$E$35:$N$57,MATCH(P28,'HVAC References'!$E$35:$E$57,0),2)),'HVAC Inputs'!V38)-(0.3*((R28*12000)/1000)),IF('HVAC Inputs'!V38="",IF(OR(D28='HVAC References'!$F$9,D28='HVAC References'!$F$4),INDEX('HVAC References'!$E$35:$N$57,MATCH(P28,'HVAC References'!$E$35:$E$57,0),3),INDEX('HVAC References'!$E$35:$N$57,MATCH(P28,'HVAC References'!$E$35:$E$57,0),2)),'HVAC Inputs'!V38)))</f>
        <v/>
      </c>
      <c r="G28" s="428" t="str">
        <f>IF(M28="","",IF(AI28=3,IF('HVAC Inputs'!X38="",INDEX('HVAC References'!$E$35:$L$57,MATCH(P28,'HVAC References'!$E$35:$E$57,0),6),'HVAC Inputs'!X38)-(0.052*((R28*12000)/1000)),""))</f>
        <v/>
      </c>
      <c r="H28" s="428" t="str">
        <f>IF('HVAC Inputs'!W38="","",'HVAC Inputs'!W38)</f>
        <v/>
      </c>
      <c r="I28" s="435" t="str">
        <f>IF('HVAC Inputs'!Y38="",IF(OR(D28='HVAC References'!$Z$35,D28='HVAC References'!$Z$39,D28=""),"",INDEX('HVAC References'!$Z$35:$AA$40,MATCH(D28,'HVAC References'!$Z$35:$Z$40,0),2)),'HVAC Inputs'!Y38)</f>
        <v/>
      </c>
      <c r="J28" s="436">
        <f>IF(D28='HVAC References'!$F$4,0,1)</f>
        <v>1</v>
      </c>
      <c r="K28" s="436">
        <f>IF(D28='HVAC References'!$F$4,1,0)</f>
        <v>0</v>
      </c>
      <c r="M28" s="437" t="str">
        <f>IF('HVAC Inputs'!B38="","",'HVAC Inputs'!B38)</f>
        <v/>
      </c>
      <c r="N28" s="433" t="str">
        <f>IF(M28="","",'HVAC Inputs'!C38)</f>
        <v/>
      </c>
      <c r="O28" s="433" t="str">
        <f>IF(M28="","",'HVAC Inputs'!D38)</f>
        <v/>
      </c>
      <c r="P28" s="433" t="str">
        <f t="shared" si="15"/>
        <v xml:space="preserve">  </v>
      </c>
      <c r="Q28" s="433" t="str">
        <f>IF(M28="","",'HVAC Inputs'!G38)</f>
        <v/>
      </c>
      <c r="R28" s="433" t="str">
        <f>IF(Q28="","",IF(Q28&gt;'HVAC References'!$H$188,'HVAC References'!$H$188,IF(Q28&lt;'HVAC References'!$H$187,'HVAC References'!$H$187,Q28)))</f>
        <v/>
      </c>
      <c r="S28" s="433" t="str">
        <f>IF(M28="","",'HVAC Inputs'!H38)</f>
        <v/>
      </c>
      <c r="T28" s="433" t="str">
        <f>IF(AG28="","",INDEX('HVAC References'!$B$5:$D$26,MATCH(B28,'HVAC References'!$B$5:$B$26,0),2))</f>
        <v/>
      </c>
      <c r="U28" s="433" t="str">
        <f>IF(AG28="","",INDEX('HVAC References'!$B$5:$D$26,MATCH(B28,'HVAC References'!$B$5:$B$26,0),3))</f>
        <v/>
      </c>
      <c r="V28" s="433" t="str">
        <f>IF('HVAC Inputs'!I38="","",'HVAC Inputs'!I38)</f>
        <v/>
      </c>
      <c r="W28" s="433" t="str">
        <f>IF('HVAC Inputs'!J38="","",'HVAC Inputs'!J38)</f>
        <v/>
      </c>
      <c r="X28" s="433" t="str">
        <f>IF('HVAC Inputs'!K38="","",'HVAC Inputs'!K38)</f>
        <v/>
      </c>
      <c r="Y28" s="433" t="str">
        <f>IF('HVAC Inputs'!L38="","",'HVAC Inputs'!L38)</f>
        <v/>
      </c>
      <c r="Z28" s="433" t="str">
        <f>IF(M28="","",INDEX('HVAC References'!$E$35:$P$57,MATCH(P28,'HVAC References'!$E$35:$E$57,0),10))</f>
        <v/>
      </c>
      <c r="AA28" s="433" t="str">
        <f>IF(M28="","",INDEX('HVAC References'!$E$35:$P$57,MATCH(P28,'HVAC References'!$E$35:$E$57,0),9))</f>
        <v/>
      </c>
      <c r="AB28" s="433" t="str">
        <f>IF(M28="","",INDEX('HVAC References'!$E$35:$P$57,MATCH(P28,'HVAC References'!$E$35:$E$57,0),11))</f>
        <v/>
      </c>
      <c r="AC28" s="433" t="str">
        <f t="shared" si="0"/>
        <v/>
      </c>
      <c r="AD28" s="433" t="str">
        <f t="shared" si="1"/>
        <v/>
      </c>
      <c r="AE28" s="433" t="str">
        <f t="shared" si="2"/>
        <v/>
      </c>
      <c r="AF28" s="433" t="str">
        <f t="shared" si="16"/>
        <v>FAIL</v>
      </c>
      <c r="AG28" s="433" t="str">
        <f>IF(AF28="Fail","",INDEX('HVAC References'!$E$35:$R$57,MATCH(P28,'HVAC References'!$E$35:$E$57,0),14))</f>
        <v/>
      </c>
      <c r="AI28" s="546" t="str">
        <f>IF(M28="","",INDEX('HVAC References'!$E$35:$R$57,MATCH(P28,'HVAC References'!$E$35:$E$57,0),13))</f>
        <v/>
      </c>
      <c r="AJ28" s="437" t="str">
        <f t="shared" si="3"/>
        <v/>
      </c>
      <c r="AK28" s="433" t="str">
        <f t="shared" si="4"/>
        <v/>
      </c>
      <c r="AL28" s="433" t="str">
        <f t="shared" si="5"/>
        <v/>
      </c>
      <c r="AM28" s="433" t="str">
        <f t="shared" si="6"/>
        <v/>
      </c>
      <c r="AN28" s="433" t="str">
        <f t="shared" si="7"/>
        <v/>
      </c>
      <c r="AO28" s="433" t="str">
        <f t="shared" si="17"/>
        <v/>
      </c>
      <c r="AP28" s="433" t="str">
        <f>IF(AF28="Pass",AM28*'HVAC References'!$H$12,"")</f>
        <v/>
      </c>
      <c r="AQ28" s="433" t="str">
        <f>IF(AF28="Pass",IF(AI28=3,IF(J28=1,0.012*(1/I28)*U28)-AN28*'HVAC References'!$H$12,0),"")</f>
        <v/>
      </c>
      <c r="AR28" s="433" t="str">
        <f t="shared" si="18"/>
        <v/>
      </c>
      <c r="AT28" s="437" t="e">
        <f t="shared" si="10"/>
        <v>#VALUE!</v>
      </c>
      <c r="AU28" s="433" t="e">
        <f t="shared" si="11"/>
        <v>#VALUE!</v>
      </c>
      <c r="AV28" s="433" t="e">
        <f t="shared" si="12"/>
        <v>#VALUE!</v>
      </c>
      <c r="AW28" s="433" t="e">
        <f t="shared" si="13"/>
        <v>#VALUE!</v>
      </c>
      <c r="AY28" s="571" t="str">
        <f>IF('HVAC Inputs'!P38="","",'HVAC Inputs'!P38*S28)</f>
        <v/>
      </c>
      <c r="AZ28" s="441">
        <f>IF(AF28="Pass",IF('HVAC References'!$K$12="Yes",INDEX('HVAC References'!$E$35:$X$57,MATCH(P28,'HVAC References'!$E$35:$E$57,0),20),INDEX('HVAC References'!$E$35:$X$57,MATCH(P28,'HVAC References'!$E$35:$E$57,0),12)),0)</f>
        <v>0</v>
      </c>
      <c r="BA28" s="441">
        <f t="shared" si="14"/>
        <v>0</v>
      </c>
      <c r="BB28" s="1264"/>
    </row>
    <row r="29" spans="1:54" x14ac:dyDescent="0.25">
      <c r="A29" s="429">
        <v>24</v>
      </c>
      <c r="B29" s="428" t="str">
        <f>IF(AG29="","",IF('HVAC Inputs'!$F$6="","",'HVAC Inputs'!$F$6))</f>
        <v/>
      </c>
      <c r="C29" s="428" t="str">
        <f>IF(M29="","",'HVAC Inputs'!R39)</f>
        <v/>
      </c>
      <c r="D29" s="428" t="str">
        <f>IF(M29="","",'HVAC Inputs'!S39)</f>
        <v/>
      </c>
      <c r="E29" s="428" t="str">
        <f>IF(M29="","",IF(AI29=2,"",IF('HVAC Inputs'!U39="",IF(OR(D29='HVAC References'!$F$9,D29='HVAC References'!$F$4),INDEX('HVAC References'!$E$35:$N$57,MATCH(P29,'HVAC References'!$E$35:$E$57,0),5),INDEX('HVAC References'!$E$35:$N$57,MATCH(P29,'HVAC References'!$E$35:$E$57,0),4)),'HVAC Inputs'!U39)))</f>
        <v/>
      </c>
      <c r="F29" s="437" t="str">
        <f>IF(M29="","",IF(OR(AI29=2,AI29=3),IF('HVAC Inputs'!V39="",IF(OR(D29='HVAC References'!$F$9,D29='HVAC References'!$F$4),INDEX('HVAC References'!$E$35:$N$57,MATCH(P29,'HVAC References'!$E$35:$E$57,0),3),INDEX('HVAC References'!$E$35:$N$57,MATCH(P29,'HVAC References'!$E$35:$E$57,0),2)),'HVAC Inputs'!V39)-(0.3*((R29*12000)/1000)),IF('HVAC Inputs'!V39="",IF(OR(D29='HVAC References'!$F$9,D29='HVAC References'!$F$4),INDEX('HVAC References'!$E$35:$N$57,MATCH(P29,'HVAC References'!$E$35:$E$57,0),3),INDEX('HVAC References'!$E$35:$N$57,MATCH(P29,'HVAC References'!$E$35:$E$57,0),2)),'HVAC Inputs'!V39)))</f>
        <v/>
      </c>
      <c r="G29" s="428" t="str">
        <f>IF(M29="","",IF(AI29=3,IF('HVAC Inputs'!X39="",INDEX('HVAC References'!$E$35:$L$57,MATCH(P29,'HVAC References'!$E$35:$E$57,0),6),'HVAC Inputs'!X39)-(0.052*((R29*12000)/1000)),""))</f>
        <v/>
      </c>
      <c r="H29" s="428" t="str">
        <f>IF('HVAC Inputs'!W39="","",'HVAC Inputs'!W39)</f>
        <v/>
      </c>
      <c r="I29" s="435" t="str">
        <f>IF('HVAC Inputs'!Y39="",IF(OR(D29='HVAC References'!$Z$35,D29='HVAC References'!$Z$39,D29=""),"",INDEX('HVAC References'!$Z$35:$AA$40,MATCH(D29,'HVAC References'!$Z$35:$Z$40,0),2)),'HVAC Inputs'!Y39)</f>
        <v/>
      </c>
      <c r="J29" s="436">
        <f>IF(D29='HVAC References'!$F$4,0,1)</f>
        <v>1</v>
      </c>
      <c r="K29" s="436">
        <f>IF(D29='HVAC References'!$F$4,1,0)</f>
        <v>0</v>
      </c>
      <c r="M29" s="437" t="str">
        <f>IF('HVAC Inputs'!B39="","",'HVAC Inputs'!B39)</f>
        <v/>
      </c>
      <c r="N29" s="433" t="str">
        <f>IF(M29="","",'HVAC Inputs'!C39)</f>
        <v/>
      </c>
      <c r="O29" s="433" t="str">
        <f>IF(M29="","",'HVAC Inputs'!D39)</f>
        <v/>
      </c>
      <c r="P29" s="433" t="str">
        <f t="shared" si="15"/>
        <v xml:space="preserve">  </v>
      </c>
      <c r="Q29" s="433" t="str">
        <f>IF(M29="","",'HVAC Inputs'!G39)</f>
        <v/>
      </c>
      <c r="R29" s="433" t="str">
        <f>IF(Q29="","",IF(Q29&gt;'HVAC References'!$H$188,'HVAC References'!$H$188,IF(Q29&lt;'HVAC References'!$H$187,'HVAC References'!$H$187,Q29)))</f>
        <v/>
      </c>
      <c r="S29" s="433" t="str">
        <f>IF(M29="","",'HVAC Inputs'!H39)</f>
        <v/>
      </c>
      <c r="T29" s="433" t="str">
        <f>IF(AG29="","",INDEX('HVAC References'!$B$5:$D$26,MATCH(B29,'HVAC References'!$B$5:$B$26,0),2))</f>
        <v/>
      </c>
      <c r="U29" s="433" t="str">
        <f>IF(AG29="","",INDEX('HVAC References'!$B$5:$D$26,MATCH(B29,'HVAC References'!$B$5:$B$26,0),3))</f>
        <v/>
      </c>
      <c r="V29" s="433" t="str">
        <f>IF('HVAC Inputs'!I39="","",'HVAC Inputs'!I39)</f>
        <v/>
      </c>
      <c r="W29" s="433" t="str">
        <f>IF('HVAC Inputs'!J39="","",'HVAC Inputs'!J39)</f>
        <v/>
      </c>
      <c r="X29" s="433" t="str">
        <f>IF('HVAC Inputs'!K39="","",'HVAC Inputs'!K39)</f>
        <v/>
      </c>
      <c r="Y29" s="433" t="str">
        <f>IF('HVAC Inputs'!L39="","",'HVAC Inputs'!L39)</f>
        <v/>
      </c>
      <c r="Z29" s="433" t="str">
        <f>IF(M29="","",INDEX('HVAC References'!$E$35:$P$57,MATCH(P29,'HVAC References'!$E$35:$E$57,0),10))</f>
        <v/>
      </c>
      <c r="AA29" s="433" t="str">
        <f>IF(M29="","",INDEX('HVAC References'!$E$35:$P$57,MATCH(P29,'HVAC References'!$E$35:$E$57,0),9))</f>
        <v/>
      </c>
      <c r="AB29" s="433" t="str">
        <f>IF(M29="","",INDEX('HVAC References'!$E$35:$P$57,MATCH(P29,'HVAC References'!$E$35:$E$57,0),11))</f>
        <v/>
      </c>
      <c r="AC29" s="433" t="str">
        <f t="shared" si="0"/>
        <v/>
      </c>
      <c r="AD29" s="433" t="str">
        <f t="shared" si="1"/>
        <v/>
      </c>
      <c r="AE29" s="433" t="str">
        <f t="shared" si="2"/>
        <v/>
      </c>
      <c r="AF29" s="433" t="str">
        <f t="shared" si="16"/>
        <v>FAIL</v>
      </c>
      <c r="AG29" s="433" t="str">
        <f>IF(AF29="Fail","",INDEX('HVAC References'!$E$35:$R$57,MATCH(P29,'HVAC References'!$E$35:$E$57,0),14))</f>
        <v/>
      </c>
      <c r="AI29" s="546" t="str">
        <f>IF(M29="","",INDEX('HVAC References'!$E$35:$R$57,MATCH(P29,'HVAC References'!$E$35:$E$57,0),13))</f>
        <v/>
      </c>
      <c r="AJ29" s="437" t="str">
        <f t="shared" si="3"/>
        <v/>
      </c>
      <c r="AK29" s="433" t="str">
        <f t="shared" si="4"/>
        <v/>
      </c>
      <c r="AL29" s="433" t="str">
        <f t="shared" si="5"/>
        <v/>
      </c>
      <c r="AM29" s="433" t="str">
        <f t="shared" si="6"/>
        <v/>
      </c>
      <c r="AN29" s="433" t="str">
        <f t="shared" si="7"/>
        <v/>
      </c>
      <c r="AO29" s="433" t="str">
        <f t="shared" si="17"/>
        <v/>
      </c>
      <c r="AP29" s="433" t="str">
        <f>IF(AF29="Pass",AM29*'HVAC References'!$H$12,"")</f>
        <v/>
      </c>
      <c r="AQ29" s="433" t="str">
        <f>IF(AF29="Pass",IF(AI29=3,IF(J29=1,0.012*(1/I29)*U29)-AN29*'HVAC References'!$H$12,0),"")</f>
        <v/>
      </c>
      <c r="AR29" s="433" t="str">
        <f t="shared" si="18"/>
        <v/>
      </c>
      <c r="AT29" s="437" t="e">
        <f t="shared" si="10"/>
        <v>#VALUE!</v>
      </c>
      <c r="AU29" s="433" t="e">
        <f t="shared" si="11"/>
        <v>#VALUE!</v>
      </c>
      <c r="AV29" s="433" t="e">
        <f t="shared" si="12"/>
        <v>#VALUE!</v>
      </c>
      <c r="AW29" s="433" t="e">
        <f t="shared" si="13"/>
        <v>#VALUE!</v>
      </c>
      <c r="AY29" s="571" t="str">
        <f>IF('HVAC Inputs'!P39="","",'HVAC Inputs'!P39*S29)</f>
        <v/>
      </c>
      <c r="AZ29" s="441">
        <f>IF(AF29="Pass",IF('HVAC References'!$K$12="Yes",INDEX('HVAC References'!$E$35:$X$57,MATCH(P29,'HVAC References'!$E$35:$E$57,0),20),INDEX('HVAC References'!$E$35:$X$57,MATCH(P29,'HVAC References'!$E$35:$E$57,0),12)),0)</f>
        <v>0</v>
      </c>
      <c r="BA29" s="441">
        <f t="shared" si="14"/>
        <v>0</v>
      </c>
      <c r="BB29" s="1264"/>
    </row>
    <row r="30" spans="1:54" ht="15.75" thickBot="1" x14ac:dyDescent="0.3">
      <c r="A30" s="430">
        <v>25</v>
      </c>
      <c r="B30" s="431" t="str">
        <f>IF(AG30="","",IF('HVAC Inputs'!$F$6="","",'HVAC Inputs'!$F$6))</f>
        <v/>
      </c>
      <c r="C30" s="431" t="str">
        <f>IF(M30="","",'HVAC Inputs'!R40)</f>
        <v/>
      </c>
      <c r="D30" s="431" t="str">
        <f>IF(M30="","",'HVAC Inputs'!S40)</f>
        <v/>
      </c>
      <c r="E30" s="431" t="str">
        <f>IF(M30="","",IF(AI30=2,"",IF('HVAC Inputs'!U40="",IF(OR(D30='HVAC References'!$F$9,D30='HVAC References'!$F$4),INDEX('HVAC References'!$E$35:$N$57,MATCH(P30,'HVAC References'!$E$35:$E$57,0),5),INDEX('HVAC References'!$E$35:$N$57,MATCH(P30,'HVAC References'!$E$35:$E$57,0),4)),'HVAC Inputs'!U40)))</f>
        <v/>
      </c>
      <c r="F30" s="438" t="str">
        <f>IF(M30="","",IF(OR(AI30=2,AI30=3),IF('HVAC Inputs'!V40="",IF(OR(D30='HVAC References'!$F$9,D30='HVAC References'!$F$4),INDEX('HVAC References'!$E$35:$N$57,MATCH(P30,'HVAC References'!$E$35:$E$57,0),3),INDEX('HVAC References'!$E$35:$N$57,MATCH(P30,'HVAC References'!$E$35:$E$57,0),2)),'HVAC Inputs'!V40)-(0.3*((R30*12000)/1000)),IF('HVAC Inputs'!V40="",IF(OR(D30='HVAC References'!$F$9,D30='HVAC References'!$F$4),INDEX('HVAC References'!$E$35:$N$57,MATCH(P30,'HVAC References'!$E$35:$E$57,0),3),INDEX('HVAC References'!$E$35:$N$57,MATCH(P30,'HVAC References'!$E$35:$E$57,0),2)),'HVAC Inputs'!V40)))</f>
        <v/>
      </c>
      <c r="G30" s="431" t="str">
        <f>IF(M30="","",IF(AI30=3,IF('HVAC Inputs'!X40="",INDEX('HVAC References'!$E$35:$L$57,MATCH(P30,'HVAC References'!$E$35:$E$57,0),6),'HVAC Inputs'!X40)-(0.052*((R30*12000)/1000)),""))</f>
        <v/>
      </c>
      <c r="H30" s="431" t="str">
        <f>IF('HVAC Inputs'!W40="","",'HVAC Inputs'!W40)</f>
        <v/>
      </c>
      <c r="I30" s="431" t="str">
        <f>IF('HVAC Inputs'!Y40="","",'HVAC Inputs'!Y40)</f>
        <v/>
      </c>
      <c r="J30" s="578">
        <f>IF(D30='HVAC References'!$F$4,0,1)</f>
        <v>1</v>
      </c>
      <c r="K30" s="578">
        <f>IF(D30='HVAC References'!$F$4,1,0)</f>
        <v>0</v>
      </c>
      <c r="M30" s="438" t="str">
        <f>IF('HVAC Inputs'!B40="","",'HVAC Inputs'!B40)</f>
        <v/>
      </c>
      <c r="N30" s="439" t="str">
        <f>IF(M30="","",'HVAC Inputs'!C40)</f>
        <v/>
      </c>
      <c r="O30" s="439" t="str">
        <f>IF(M30="","",'HVAC Inputs'!D40)</f>
        <v/>
      </c>
      <c r="P30" s="439" t="str">
        <f t="shared" si="15"/>
        <v xml:space="preserve">  </v>
      </c>
      <c r="Q30" s="439" t="str">
        <f>IF(M30="","",'HVAC Inputs'!G40)</f>
        <v/>
      </c>
      <c r="R30" s="439" t="str">
        <f>IF(Q30="","",IF(Q30&gt;'HVAC References'!$H$188,'HVAC References'!$H$188,IF(Q30&lt;'HVAC References'!$H$187,'HVAC References'!$H$187,Q30)))</f>
        <v/>
      </c>
      <c r="S30" s="439" t="str">
        <f>IF(M30="","",'HVAC Inputs'!H40)</f>
        <v/>
      </c>
      <c r="T30" s="439" t="str">
        <f>IF(AG30="","",INDEX('HVAC References'!$B$5:$D$26,MATCH(B30,'HVAC References'!$B$5:$B$26,0),2))</f>
        <v/>
      </c>
      <c r="U30" s="439" t="str">
        <f>IF(AG30="","",INDEX('HVAC References'!$B$5:$D$26,MATCH(B30,'HVAC References'!$B$5:$B$26,0),3))</f>
        <v/>
      </c>
      <c r="V30" s="439" t="str">
        <f>IF('HVAC Inputs'!I40="","",'HVAC Inputs'!I40)</f>
        <v/>
      </c>
      <c r="W30" s="439" t="str">
        <f>IF('HVAC Inputs'!J40="","",'HVAC Inputs'!J40)</f>
        <v/>
      </c>
      <c r="X30" s="439" t="str">
        <f>IF('HVAC Inputs'!K40="","",'HVAC Inputs'!K40)</f>
        <v/>
      </c>
      <c r="Y30" s="439" t="str">
        <f>IF('HVAC Inputs'!L40="","",'HVAC Inputs'!L40)</f>
        <v/>
      </c>
      <c r="Z30" s="439" t="str">
        <f>IF(M30="","",INDEX('HVAC References'!$E$35:$P$57,MATCH(P30,'HVAC References'!$E$35:$E$57,0),10))</f>
        <v/>
      </c>
      <c r="AA30" s="439" t="str">
        <f>IF(M30="","",INDEX('HVAC References'!$E$35:$P$57,MATCH(P30,'HVAC References'!$E$35:$E$57,0),9))</f>
        <v/>
      </c>
      <c r="AB30" s="439" t="str">
        <f>IF(M30="","",INDEX('HVAC References'!$E$35:$P$57,MATCH(P30,'HVAC References'!$E$35:$E$57,0),11))</f>
        <v/>
      </c>
      <c r="AC30" s="439" t="str">
        <f t="shared" si="0"/>
        <v/>
      </c>
      <c r="AD30" s="439" t="str">
        <f t="shared" si="1"/>
        <v/>
      </c>
      <c r="AE30" s="439" t="str">
        <f t="shared" si="2"/>
        <v/>
      </c>
      <c r="AF30" s="439" t="str">
        <f t="shared" si="16"/>
        <v>FAIL</v>
      </c>
      <c r="AG30" s="439" t="str">
        <f>IF(AF30="Fail","",INDEX('HVAC References'!$E$35:$R$57,MATCH(P30,'HVAC References'!$E$35:$E$57,0),14))</f>
        <v/>
      </c>
      <c r="AI30" s="574" t="str">
        <f>IF(M30="","",INDEX('HVAC References'!$E$35:$R$57,MATCH(P30,'HVAC References'!$E$35:$E$57,0),13))</f>
        <v/>
      </c>
      <c r="AJ30" s="438" t="str">
        <f t="shared" si="3"/>
        <v/>
      </c>
      <c r="AK30" s="439" t="str">
        <f t="shared" si="4"/>
        <v/>
      </c>
      <c r="AL30" s="439" t="str">
        <f t="shared" si="5"/>
        <v/>
      </c>
      <c r="AM30" s="439" t="str">
        <f t="shared" si="6"/>
        <v/>
      </c>
      <c r="AN30" s="439" t="str">
        <f t="shared" si="7"/>
        <v/>
      </c>
      <c r="AO30" s="439" t="str">
        <f t="shared" si="17"/>
        <v/>
      </c>
      <c r="AP30" s="439" t="str">
        <f>IF(AF30="Pass",AM30*'HVAC References'!$H$12,"")</f>
        <v/>
      </c>
      <c r="AQ30" s="439" t="str">
        <f>IF(AF30="Pass",IF(AI30=3,IF(J30=1,0.012*(1/I30)*U30)-AN30*'HVAC References'!$H$12,0),"")</f>
        <v/>
      </c>
      <c r="AR30" s="439" t="str">
        <f t="shared" si="18"/>
        <v/>
      </c>
      <c r="AT30" s="438" t="e">
        <f t="shared" si="10"/>
        <v>#VALUE!</v>
      </c>
      <c r="AU30" s="439" t="e">
        <f t="shared" si="11"/>
        <v>#VALUE!</v>
      </c>
      <c r="AV30" s="439" t="e">
        <f t="shared" si="12"/>
        <v>#VALUE!</v>
      </c>
      <c r="AW30" s="439" t="e">
        <f t="shared" si="13"/>
        <v>#VALUE!</v>
      </c>
      <c r="AY30" s="572" t="str">
        <f>IF('HVAC Inputs'!P40="","",'HVAC Inputs'!P40*S30)</f>
        <v/>
      </c>
      <c r="AZ30" s="442">
        <f>IF(AF30="Pass",IF('HVAC References'!$K$12="Yes",INDEX('HVAC References'!$E$35:$X$57,MATCH(P30,'HVAC References'!$E$35:$E$57,0),20),INDEX('HVAC References'!$E$35:$X$57,MATCH(P30,'HVAC References'!$E$35:$E$57,0),12)),0)</f>
        <v>0</v>
      </c>
      <c r="BA30" s="442">
        <f t="shared" si="14"/>
        <v>0</v>
      </c>
      <c r="BB30" s="1265"/>
    </row>
    <row r="33" spans="1:60" ht="28.5" x14ac:dyDescent="0.45">
      <c r="A33" s="575" t="s">
        <v>1623</v>
      </c>
    </row>
    <row r="34" spans="1:60" ht="15.75" thickBot="1" x14ac:dyDescent="0.3"/>
    <row r="35" spans="1:60" ht="15.75" thickBot="1" x14ac:dyDescent="0.3">
      <c r="A35" s="1260" t="s">
        <v>1544</v>
      </c>
      <c r="B35" s="1261"/>
      <c r="C35" s="1261"/>
      <c r="D35" s="1261"/>
      <c r="E35" s="1261"/>
      <c r="F35" s="1261"/>
      <c r="G35" s="1261"/>
      <c r="H35" s="1261"/>
      <c r="I35" s="1261"/>
      <c r="J35" s="1261"/>
      <c r="K35" s="1262"/>
      <c r="M35" s="1260" t="s">
        <v>1492</v>
      </c>
      <c r="N35" s="1261"/>
      <c r="O35" s="1261"/>
      <c r="P35" s="1261"/>
      <c r="Q35" s="1261"/>
      <c r="R35" s="1261"/>
      <c r="S35" s="1261"/>
      <c r="T35" s="1262"/>
      <c r="V35" s="1260" t="s">
        <v>1558</v>
      </c>
      <c r="W35" s="1261"/>
      <c r="X35" s="1261"/>
      <c r="Y35" s="1261"/>
      <c r="Z35" s="1261"/>
      <c r="AA35" s="1261"/>
      <c r="AB35" s="1261"/>
      <c r="AC35" s="1261"/>
      <c r="AD35" s="1261"/>
      <c r="AE35" s="1262"/>
      <c r="AG35" s="1260" t="s">
        <v>1637</v>
      </c>
      <c r="AH35" s="1261"/>
      <c r="AI35" s="1261"/>
      <c r="AJ35" s="1261"/>
      <c r="AK35" s="1261"/>
      <c r="AL35" s="1261"/>
      <c r="AM35" s="1261"/>
      <c r="AN35" s="1261"/>
      <c r="AO35" s="1261"/>
      <c r="AP35" s="1261"/>
      <c r="AQ35" s="1261"/>
      <c r="AR35" s="1261"/>
      <c r="AS35" s="1262"/>
      <c r="AU35" s="1260" t="s">
        <v>1568</v>
      </c>
      <c r="AV35" s="1261"/>
      <c r="AW35" s="1261"/>
      <c r="AX35" s="1261"/>
      <c r="AY35" s="1261"/>
      <c r="AZ35" s="1261"/>
      <c r="BA35" s="1261"/>
      <c r="BB35" s="1261"/>
      <c r="BC35" s="1262"/>
      <c r="BE35" s="1260" t="s">
        <v>1569</v>
      </c>
      <c r="BF35" s="1261"/>
      <c r="BG35" s="1261"/>
      <c r="BH35" s="1262"/>
    </row>
    <row r="36" spans="1:60" ht="18.75" thickBot="1" x14ac:dyDescent="0.4">
      <c r="A36" s="576" t="s">
        <v>1543</v>
      </c>
      <c r="B36" s="443" t="s">
        <v>1559</v>
      </c>
      <c r="C36" s="443" t="s">
        <v>1545</v>
      </c>
      <c r="D36" s="577" t="s">
        <v>1193</v>
      </c>
      <c r="E36" s="408" t="s">
        <v>1643</v>
      </c>
      <c r="F36" s="443" t="s">
        <v>1494</v>
      </c>
      <c r="G36" s="577" t="s">
        <v>1493</v>
      </c>
      <c r="H36" s="443" t="s">
        <v>409</v>
      </c>
      <c r="I36" s="443" t="s">
        <v>1616</v>
      </c>
      <c r="J36" s="443" t="s">
        <v>1619</v>
      </c>
      <c r="K36" s="443" t="s">
        <v>1620</v>
      </c>
      <c r="M36" s="443" t="s">
        <v>125</v>
      </c>
      <c r="N36" s="443" t="s">
        <v>1626</v>
      </c>
      <c r="O36" s="443" t="s">
        <v>1627</v>
      </c>
      <c r="P36" s="443" t="s">
        <v>1628</v>
      </c>
      <c r="Q36" s="443" t="s">
        <v>1629</v>
      </c>
      <c r="R36" s="443" t="s">
        <v>1630</v>
      </c>
      <c r="S36" s="443" t="s">
        <v>1560</v>
      </c>
      <c r="T36" s="443" t="s">
        <v>1537</v>
      </c>
      <c r="V36" s="576" t="s">
        <v>1760</v>
      </c>
      <c r="W36" s="576" t="s">
        <v>1631</v>
      </c>
      <c r="X36" s="576" t="s">
        <v>1632</v>
      </c>
      <c r="Y36" s="576" t="s">
        <v>1633</v>
      </c>
      <c r="Z36" s="1266" t="s">
        <v>1634</v>
      </c>
      <c r="AA36" s="1267"/>
      <c r="AB36" s="577" t="s">
        <v>1635</v>
      </c>
      <c r="AC36" s="443" t="s">
        <v>1636</v>
      </c>
      <c r="AD36" s="577" t="s">
        <v>1558</v>
      </c>
      <c r="AE36" s="443" t="s">
        <v>267</v>
      </c>
      <c r="AG36" s="576" t="s">
        <v>1741</v>
      </c>
      <c r="AH36" s="576" t="s">
        <v>1638</v>
      </c>
      <c r="AI36" s="576" t="s">
        <v>1050</v>
      </c>
      <c r="AJ36" s="576" t="s">
        <v>1051</v>
      </c>
      <c r="AK36" s="576" t="s">
        <v>1052</v>
      </c>
      <c r="AL36" s="576" t="s">
        <v>1053</v>
      </c>
      <c r="AM36" s="576" t="s">
        <v>1642</v>
      </c>
      <c r="AN36" s="576" t="s">
        <v>1641</v>
      </c>
      <c r="AO36" s="576" t="s">
        <v>1640</v>
      </c>
      <c r="AP36" s="443" t="s">
        <v>1639</v>
      </c>
      <c r="AQ36" s="443" t="s">
        <v>1742</v>
      </c>
      <c r="AR36" s="443" t="s">
        <v>1743</v>
      </c>
      <c r="AS36" s="443" t="s">
        <v>1744</v>
      </c>
      <c r="AU36" s="443" t="s">
        <v>1561</v>
      </c>
      <c r="AV36" s="443" t="s">
        <v>1621</v>
      </c>
      <c r="AW36" s="443" t="s">
        <v>1622</v>
      </c>
      <c r="AX36" s="443" t="s">
        <v>1562</v>
      </c>
      <c r="AY36" s="443" t="s">
        <v>1563</v>
      </c>
      <c r="AZ36" s="443" t="s">
        <v>1564</v>
      </c>
      <c r="BA36" s="443" t="s">
        <v>1565</v>
      </c>
      <c r="BB36" s="443" t="s">
        <v>1566</v>
      </c>
      <c r="BC36" s="443" t="s">
        <v>1567</v>
      </c>
      <c r="BE36" s="443" t="s">
        <v>405</v>
      </c>
      <c r="BF36" s="443" t="s">
        <v>1570</v>
      </c>
      <c r="BG36" s="443" t="s">
        <v>1571</v>
      </c>
      <c r="BH36" s="443" t="s">
        <v>1572</v>
      </c>
    </row>
    <row r="37" spans="1:60" x14ac:dyDescent="0.25">
      <c r="A37" s="432">
        <v>1</v>
      </c>
      <c r="B37" s="433" t="str">
        <f>IF(AE37="","",IF('Part Building ccASHP Worksheet'!$O$12="","",'Part Building ccASHP Worksheet'!$O$12))</f>
        <v/>
      </c>
      <c r="C37" s="433" t="str">
        <f>IF(M37="","",'Part Building ccASHP Worksheet'!S19)</f>
        <v/>
      </c>
      <c r="D37" s="433" t="str">
        <f>IF(M37="","",'Part Building ccASHP Worksheet'!T19)</f>
        <v/>
      </c>
      <c r="E37" s="433" t="str">
        <f>IF(M37="","",IF(OR(D37='HVAC References'!$B$220,D37='HVAC References'!$B$221),"NC",IF(AND(AND(LEFT(C37,5)&lt;&gt;"Split",LEFT(C37,6)&lt;&gt;"Single"),D37="Oil"),"OC","AO")))</f>
        <v/>
      </c>
      <c r="F37" s="433" t="str">
        <f>IF(M37="","",IF('Part Building ccASHP Worksheet'!V19="",INDEX('HVAC References'!$G$215:$K$217,MATCH($E37,'HVAC References'!$G$215:$G$217,0),3),'Part Building ccASHP Worksheet'!V19))</f>
        <v/>
      </c>
      <c r="G37" s="433" t="str">
        <f>IF(M37="","",IF('Part Building ccASHP Worksheet'!W19="",INDEX('HVAC References'!$G$215:$K$217,MATCH($E37,'HVAC References'!$G$215:$G$217,0),2),'Part Building ccASHP Worksheet'!W19))</f>
        <v/>
      </c>
      <c r="H37" s="433" t="str">
        <f>IF(M37="","",INDEX('HVAC References'!$G$215:$K$217,MATCH($E37,'HVAC References'!$G$215:$G$217,0),4))</f>
        <v/>
      </c>
      <c r="I37" s="679" t="str" cm="1">
        <f t="array" ref="I37">IF(M37="","",IF('Part Building ccASHP Worksheet'!Z19="",INDEX('HVAC References'!$B$215:$E$221,MATCH(D37,'HVAC References'!$B$215:$B$221,0),IF(E37='HVAC References'!$D$214,3,IF(E37='HVAC References'!$E$214,4,IF(E37='HVAC References'!$C$214,2)))),'Part Building ccASHP Worksheet'!Z19))</f>
        <v/>
      </c>
      <c r="J37" s="436">
        <f>IF(D37='HVAC References'!$F$4,0,1)</f>
        <v>1</v>
      </c>
      <c r="K37" s="436">
        <f>IF(D37='HVAC References'!$F$4,1,0)</f>
        <v>0</v>
      </c>
      <c r="M37" s="579" t="str">
        <f>IF('Part Building ccASHP Worksheet'!B19="","",'Part Building ccASHP Worksheet'!B19)</f>
        <v/>
      </c>
      <c r="N37" s="580" t="str">
        <f>IF(M37="","",'Part Building ccASHP Worksheet'!F19)</f>
        <v/>
      </c>
      <c r="O37" s="580" t="str">
        <f>IF(M37="","",'Part Building ccASHP Worksheet'!G19)</f>
        <v/>
      </c>
      <c r="P37" s="580" t="str">
        <f>IF(M37="","",'Part Building ccASHP Worksheet'!I19)</f>
        <v/>
      </c>
      <c r="Q37" s="580" t="str">
        <f>IF(M37="","",'Part Building ccASHP Worksheet'!H19)</f>
        <v/>
      </c>
      <c r="R37" s="580" t="str">
        <f>IF(M37="","",'Part Building ccASHP Worksheet'!J19)</f>
        <v/>
      </c>
      <c r="S37" s="580" t="str">
        <f>IF($M37="","",INDEX('HVAC References'!$T$230:$V$243,MATCH(B37,'HVAC References'!$T$230:$T$243,0),2))</f>
        <v/>
      </c>
      <c r="T37" s="580" t="str">
        <f>IF($M37="","",INDEX('HVAC References'!$T$230:$V$243,MATCH(B37,'HVAC References'!$T$230:$T$243,0),3))</f>
        <v/>
      </c>
      <c r="V37" s="579" t="str">
        <f>M37&amp;" "&amp;E37</f>
        <v xml:space="preserve"> </v>
      </c>
      <c r="W37" s="579" t="str">
        <f>IF($M37="","",'Part Building ccASHP Worksheet'!L19)</f>
        <v/>
      </c>
      <c r="X37" s="579" t="str">
        <f>IF($M37="","",'Part Building ccASHP Worksheet'!M19)</f>
        <v/>
      </c>
      <c r="Y37" s="579" t="str">
        <f>IF($M37="","",'Part Building ccASHP Worksheet'!$B$14)</f>
        <v/>
      </c>
      <c r="Z37" s="579" t="str">
        <f>IF(M37="","",X37*'HVAC References'!$D$209)</f>
        <v/>
      </c>
      <c r="AA37" s="579" t="str">
        <f>IF(M37="","",X37*'HVAC References'!$D$210)</f>
        <v/>
      </c>
      <c r="AB37" s="579" t="str">
        <f>IF(OR(W37="",W37=0),"Fail","Pass")</f>
        <v>Fail</v>
      </c>
      <c r="AC37" s="579" t="str">
        <f>IF(X37="","Fail",IF(AND(O37&gt;=Z37,O37&lt;=AA37),"Pass","Fail"))</f>
        <v>Fail</v>
      </c>
      <c r="AD37" s="579" t="str">
        <f>IF(AND(AB37="Pass",AC37="Pass"),"Pass","Fail")</f>
        <v>Fail</v>
      </c>
      <c r="AE37" s="579" t="str">
        <f>IF(AD37="Fail","",INDEX('HVAC References'!$N$215:$R$223,MATCH(V37,'HVAC References'!$N$215:$N$223,0),2))</f>
        <v/>
      </c>
      <c r="AG37" s="579" t="str">
        <f>IF(AE37="","",INDEX('HVAC References'!$F$209:$H$211,MATCH(M37,'HVAC References'!$F$209:$F$211,0),3))</f>
        <v/>
      </c>
      <c r="AH37" s="579" t="str">
        <f>IF(AG37="","",'HVAC References'!$K$236)</f>
        <v/>
      </c>
      <c r="AI37" s="680" t="str">
        <f>IF($AG37="","",INDEX('HVAC References'!$L$230:$R$248,MATCH($AG37,'HVAC References'!$L$230:$L$248,0),2))</f>
        <v/>
      </c>
      <c r="AJ37" s="680" t="str">
        <f>IF($AG37="","",INDEX('HVAC References'!$L$230:$R$248,MATCH($AG37,'HVAC References'!$L$230:$L$248,0),3))</f>
        <v/>
      </c>
      <c r="AK37" s="680" t="str">
        <f>IF($AG37="","",INDEX('HVAC References'!$L$230:$R$248,MATCH($AG37,'HVAC References'!$L$230:$L$248,0),4))</f>
        <v/>
      </c>
      <c r="AL37" s="680" t="str">
        <f>IF($AG37="","",INDEX('HVAC References'!$L$230:$R$248,MATCH($AG37,'HVAC References'!$L$230:$L$248,0),5))</f>
        <v/>
      </c>
      <c r="AM37" s="680" t="str">
        <f>IF(OR(AG37="",E37&lt;&gt;"AO"),"",INDEX('HVAC References'!$G$215:$K$217,MATCH($E37,'HVAC References'!$G$215:$G$217,0),5))</f>
        <v/>
      </c>
      <c r="AN37" s="680" t="str">
        <f>IF($AG37="","",INDEX('HVAC References'!$L$230:$R$248,MATCH($AG37,'HVAC References'!$L$230:$L$248,0),6))</f>
        <v/>
      </c>
      <c r="AO37" s="680" t="str">
        <f>IF($AG37="","",INDEX('HVAC References'!$L$230:$R$248,MATCH($AG37,'HVAC References'!$L$230:$L$248,0),7))</f>
        <v/>
      </c>
      <c r="AP37" s="680" t="str">
        <f>IF(AG37="","",1)</f>
        <v/>
      </c>
      <c r="AQ37" s="680" t="str">
        <f>IF(AG37="","",AK37+AL37*Q37)</f>
        <v/>
      </c>
      <c r="AR37" s="680" t="str">
        <f>IF(AG37="","",H37*AM37/3.412)</f>
        <v/>
      </c>
      <c r="AS37" s="680" t="str">
        <f>IF(AG37="","",AI37+(AJ37*R37/3.412))</f>
        <v/>
      </c>
      <c r="AU37" s="579" t="str">
        <f>IF(AE37="","",W37*((1/1000)*((1/G37)-(1/P37)))*AO37)</f>
        <v/>
      </c>
      <c r="AV37" s="579" t="str">
        <f>IF(AE37="","",W37*(((1/1000)*((1/F37)-(1/AQ37))*S37*AO37)))</f>
        <v/>
      </c>
      <c r="AW37" s="579" t="str">
        <f>IF(AE37="","",IF(K37=1,X37*((((1/1000)*((1/AR37)-(1/AS37))*(1/3.412)*T37*AN37))),0))</f>
        <v/>
      </c>
      <c r="AX37" s="579" t="str">
        <f>IF(AE37="","",AW37+AV37)</f>
        <v/>
      </c>
      <c r="AY37" s="579" t="str">
        <f>IF(AE37="","",IF(J37=1,X37*((1/1000)*(1/AS37))*(1/3.412)*T37*AN37,0))</f>
        <v/>
      </c>
      <c r="AZ37" s="579" t="str">
        <f>IF(AE37="","",AX37-AY37)</f>
        <v/>
      </c>
      <c r="BA37" s="579" t="str">
        <f>IF(AE37="","",AX37*'HVAC References'!$H$12)</f>
        <v/>
      </c>
      <c r="BB37" s="579" t="str">
        <f>IF(AE37="","",IF(J37=1,X37*((1/I37)*T37*AN37*(1/1000000))-(AY37*'HVAC References'!$H$12),0))</f>
        <v/>
      </c>
      <c r="BC37" s="579" t="str">
        <f>IF(AE37="","",BB37+BA37)</f>
        <v/>
      </c>
      <c r="BE37" s="579" t="str">
        <f>'Part Building ccASHP Worksheet'!Q19</f>
        <v/>
      </c>
      <c r="BF37" s="579">
        <f>IF(AE37="",0,IF('HVAC References'!$K$12="Yes",'HVAC References'!$H$221,'HVAC References'!$H$220))</f>
        <v>0</v>
      </c>
      <c r="BG37" s="579">
        <f>IF(AE37="",0,O37/12000*BF37)</f>
        <v>0</v>
      </c>
      <c r="BH37" s="1263">
        <f>MIN(SUM(BE37:BE61)*0.7,SUM(BG37:BG61))</f>
        <v>0</v>
      </c>
    </row>
    <row r="38" spans="1:60" x14ac:dyDescent="0.25">
      <c r="A38" s="429">
        <v>2</v>
      </c>
      <c r="B38" s="428" t="str">
        <f>IF(AE38="","",IF('Part Building ccASHP Worksheet'!$O$12="","",'Part Building ccASHP Worksheet'!$O$12))</f>
        <v/>
      </c>
      <c r="C38" s="428" t="str">
        <f>IF(M38="","",'Part Building ccASHP Worksheet'!S20)</f>
        <v/>
      </c>
      <c r="D38" s="428" t="str">
        <f>IF(M38="","",'Part Building ccASHP Worksheet'!T20)</f>
        <v/>
      </c>
      <c r="E38" s="433" t="str">
        <f>IF(M38="","",IF(OR(D38='HVAC References'!$B$220,D38='HVAC References'!$B$221),"NC",IF(AND(AND(LEFT(C38,5)&lt;&gt;"Split",LEFT(C38,6)&lt;&gt;"Single"),D38="Oil"),"OC","AO")))</f>
        <v/>
      </c>
      <c r="F38" s="428" t="str">
        <f>IF(M38="","",IF('Part Building ccASHP Worksheet'!V20="",INDEX('HVAC References'!$G$215:$K$217,MATCH($E38,'HVAC References'!$G$215:$G$217,0),3),'Part Building ccASHP Worksheet'!V20))</f>
        <v/>
      </c>
      <c r="G38" s="428" t="str">
        <f>IF(M38="","",IF('Part Building ccASHP Worksheet'!W20="",INDEX('HVAC References'!$G$215:$K$217,MATCH($E38,'HVAC References'!$G$215:$G$217,0),2),'Part Building ccASHP Worksheet'!W20))</f>
        <v/>
      </c>
      <c r="H38" s="428" t="str">
        <f>IF(M38="","",INDEX('HVAC References'!$G$215:$K$217,MATCH($E38,'HVAC References'!$G$215:$G$217,0),4))</f>
        <v/>
      </c>
      <c r="I38" s="428" t="str" cm="1">
        <f t="array" ref="I38">IF(M38="","",IF('Part Building ccASHP Worksheet'!Z20="",INDEX('HVAC References'!$B$215:$E$221,MATCH(D38,'HVAC References'!$B$215:$B$221,0),IF(E38='HVAC References'!$D$214,3,IF(E38='HVAC References'!$E$214,4,IF(E38='HVAC References'!$C$214,2)))),'Part Building ccASHP Worksheet'!Z20))</f>
        <v/>
      </c>
      <c r="J38" s="436">
        <f>IF(D38='HVAC References'!$F$4,0,1)</f>
        <v>1</v>
      </c>
      <c r="K38" s="436">
        <f>IF(D38='HVAC References'!$F$4,1,0)</f>
        <v>0</v>
      </c>
      <c r="M38" s="581" t="str">
        <f>IF('Part Building ccASHP Worksheet'!B20="","",'Part Building ccASHP Worksheet'!B20)</f>
        <v/>
      </c>
      <c r="N38" s="428" t="str">
        <f>IF(M38="","",'Part Building ccASHP Worksheet'!F20)</f>
        <v/>
      </c>
      <c r="O38" s="428" t="str">
        <f>IF(M38="","",'Part Building ccASHP Worksheet'!G20)</f>
        <v/>
      </c>
      <c r="P38" s="428" t="str">
        <f>IF(M38="","",'Part Building ccASHP Worksheet'!I20)</f>
        <v/>
      </c>
      <c r="Q38" s="428" t="str">
        <f>IF(M38="","",'Part Building ccASHP Worksheet'!H20)</f>
        <v/>
      </c>
      <c r="R38" s="428" t="str">
        <f>IF(M38="","",'Part Building ccASHP Worksheet'!J20)</f>
        <v/>
      </c>
      <c r="S38" s="428" t="str">
        <f>IF($M38="","",INDEX('HVAC References'!$T$230:$V$243,MATCH(B38,'HVAC References'!$T$230:$T$243,0),2))</f>
        <v/>
      </c>
      <c r="T38" s="428" t="str">
        <f>IF($M38="","",INDEX('HVAC References'!$T$230:$V$243,MATCH(B38,'HVAC References'!$T$230:$T$243,0),3))</f>
        <v/>
      </c>
      <c r="V38" s="581" t="str">
        <f t="shared" ref="V38:V61" si="19">M38&amp;" "&amp;E38</f>
        <v xml:space="preserve"> </v>
      </c>
      <c r="W38" s="581" t="str">
        <f>IF($M38="","",'Part Building ccASHP Worksheet'!L20)</f>
        <v/>
      </c>
      <c r="X38" s="581" t="str">
        <f>IF($M38="","",'Part Building ccASHP Worksheet'!M20)</f>
        <v/>
      </c>
      <c r="Y38" s="581" t="str">
        <f>IF($M38="","",'Part Building ccASHP Worksheet'!$B$14)</f>
        <v/>
      </c>
      <c r="Z38" s="581" t="str">
        <f>IF(M38="","",X38*'HVAC References'!$D$209)</f>
        <v/>
      </c>
      <c r="AA38" s="581" t="str">
        <f>IF(M38="","",X38*'HVAC References'!$D$210)</f>
        <v/>
      </c>
      <c r="AB38" s="581" t="str">
        <f t="shared" ref="AB38:AB61" si="20">IF(OR(W38="",W38=0),"Fail","Pass")</f>
        <v>Fail</v>
      </c>
      <c r="AC38" s="581" t="str">
        <f t="shared" ref="AC38:AC61" si="21">IF(X38="","Fail",IF(AND(O38&gt;=Z38,O38&lt;=AA38),"Pass","Fail"))</f>
        <v>Fail</v>
      </c>
      <c r="AD38" s="581" t="str">
        <f t="shared" ref="AD38:AD61" si="22">IF(AND(AB38="Pass",AC38="Pass"),"Pass","Fail")</f>
        <v>Fail</v>
      </c>
      <c r="AE38" s="581" t="str">
        <f>IF(AD38="Fail","",INDEX('HVAC References'!$N$215:$R$223,MATCH(V38,'HVAC References'!$N$215:$N$223,0),2))</f>
        <v/>
      </c>
      <c r="AG38" s="581" t="str">
        <f>IF(AE38="","",INDEX('HVAC References'!$F$209:$H$211,MATCH(M38,'HVAC References'!$F$209:$F$211,0),3))</f>
        <v/>
      </c>
      <c r="AH38" s="581" t="str">
        <f>IF(AG38="","",'HVAC References'!$K$236)</f>
        <v/>
      </c>
      <c r="AI38" s="581" t="str">
        <f>IF($AG38="","",INDEX('HVAC References'!$L$230:$R$248,MATCH($AG38,'HVAC References'!$L$230:$L$248,0),2))</f>
        <v/>
      </c>
      <c r="AJ38" s="581" t="str">
        <f>IF($AG38="","",INDEX('HVAC References'!$L$230:$R$248,MATCH($AG38,'HVAC References'!$L$230:$L$248,0),3))</f>
        <v/>
      </c>
      <c r="AK38" s="581" t="str">
        <f>IF($AG38="","",INDEX('HVAC References'!$L$230:$R$248,MATCH($AG38,'HVAC References'!$L$230:$L$248,0),4))</f>
        <v/>
      </c>
      <c r="AL38" s="581" t="str">
        <f>IF($AG38="","",INDEX('HVAC References'!$L$230:$R$248,MATCH($AG38,'HVAC References'!$L$230:$L$248,0),5))</f>
        <v/>
      </c>
      <c r="AM38" s="581" t="str">
        <f>IF(OR(AG38="",E38&lt;&gt;"AO"),"",INDEX('HVAC References'!$G$215:$K$217,MATCH($E38,'HVAC References'!$G$215:$G$217,0),5))</f>
        <v/>
      </c>
      <c r="AN38" s="581" t="str">
        <f>IF($AG38="","",INDEX('HVAC References'!$L$230:$R$248,MATCH($AG38,'HVAC References'!$L$230:$L$248,0),6))</f>
        <v/>
      </c>
      <c r="AO38" s="581" t="str">
        <f>IF($AG38="","",INDEX('HVAC References'!$L$230:$R$248,MATCH($AG38,'HVAC References'!$L$230:$L$248,0),7))</f>
        <v/>
      </c>
      <c r="AP38" s="581" t="str">
        <f t="shared" ref="AP38:AP61" si="23">IF(AG38="","",1)</f>
        <v/>
      </c>
      <c r="AQ38" s="581" t="str">
        <f t="shared" ref="AQ38:AQ61" si="24">IF(AG38="","",AK38+AL38*Q38)</f>
        <v/>
      </c>
      <c r="AR38" s="581" t="str">
        <f t="shared" ref="AR38:AR61" si="25">IF(AG38="","",H38*AM38/3.412)</f>
        <v/>
      </c>
      <c r="AS38" s="581" t="str">
        <f t="shared" ref="AS38:AS61" si="26">IF(AG38="","",AI38+(AJ38*R38/3.412))</f>
        <v/>
      </c>
      <c r="AU38" s="581" t="str">
        <f t="shared" ref="AU38:AU61" si="27">IF(AE38="","",W38*((1/1000)*((1/G38)-(1/P38)))*AO38)</f>
        <v/>
      </c>
      <c r="AV38" s="581" t="str">
        <f t="shared" ref="AV38:AV61" si="28">IF(AE38="","",W38*(((1/1000)*((1/F38)-(1/AQ38))*S38*AO38)))</f>
        <v/>
      </c>
      <c r="AW38" s="581" t="str">
        <f t="shared" ref="AW38:AW61" si="29">IF(AE38="","",IF(K38=1,X38*((((1/1000)*((1/AR38)-(1/AS38))*(1/3.412)*T38*AN38))),0))</f>
        <v/>
      </c>
      <c r="AX38" s="581" t="str">
        <f t="shared" ref="AX38:AX61" si="30">IF(AE38="","",AW38+AV38)</f>
        <v/>
      </c>
      <c r="AY38" s="581" t="str">
        <f t="shared" ref="AY38:AY61" si="31">IF(AE38="","",IF(J38=1,X38*((1/1000)*(1/AS38))*(1/3.412)*T38*AN38,0))</f>
        <v/>
      </c>
      <c r="AZ38" s="581" t="str">
        <f t="shared" ref="AZ38:AZ61" si="32">IF(AE38="","",AX38-AY38)</f>
        <v/>
      </c>
      <c r="BA38" s="581" t="str">
        <f>IF(AE38="","",AX38*'HVAC References'!$H$12)</f>
        <v/>
      </c>
      <c r="BB38" s="581" t="str">
        <f>IF(AE38="","",IF(J38=1,X38*((1/I38)*T38*AN38*(1/1000000))-(AY38*'HVAC References'!$H$12),0))</f>
        <v/>
      </c>
      <c r="BC38" s="581" t="str">
        <f t="shared" ref="BC38:BC61" si="33">IF(AE38="","",BB38+BA38)</f>
        <v/>
      </c>
      <c r="BE38" s="581" t="str">
        <f>'Part Building ccASHP Worksheet'!Q20</f>
        <v/>
      </c>
      <c r="BF38" s="581">
        <f>IF(AE38="",0,IF('HVAC References'!$K$12="Yes",'HVAC References'!$H$221,'HVAC References'!$H$220))</f>
        <v>0</v>
      </c>
      <c r="BG38" s="581">
        <f t="shared" ref="BG38:BG61" si="34">IF(AE38="",0,O38/12000*BF38)</f>
        <v>0</v>
      </c>
      <c r="BH38" s="1264"/>
    </row>
    <row r="39" spans="1:60" x14ac:dyDescent="0.25">
      <c r="A39" s="429">
        <v>3</v>
      </c>
      <c r="B39" s="428" t="str">
        <f>IF(AE39="","",IF('Part Building ccASHP Worksheet'!$O$12="","",'Part Building ccASHP Worksheet'!$O$12))</f>
        <v/>
      </c>
      <c r="C39" s="428" t="str">
        <f>IF(M39="","",'Part Building ccASHP Worksheet'!S21)</f>
        <v/>
      </c>
      <c r="D39" s="428" t="str">
        <f>IF(M39="","",'Part Building ccASHP Worksheet'!T21)</f>
        <v/>
      </c>
      <c r="E39" s="433" t="str">
        <f>IF(M39="","",IF(OR(D39='HVAC References'!$B$220,D39='HVAC References'!$B$221),"NC",IF(AND(AND(LEFT(C39,5)&lt;&gt;"Split",LEFT(C39,6)&lt;&gt;"Single"),D39="Oil"),"OC","AO")))</f>
        <v/>
      </c>
      <c r="F39" s="428" t="str">
        <f>IF(M39="","",IF('Part Building ccASHP Worksheet'!V21="",INDEX('HVAC References'!$G$215:$K$217,MATCH($E39,'HVAC References'!$G$215:$G$217,0),3),'Part Building ccASHP Worksheet'!V21))</f>
        <v/>
      </c>
      <c r="G39" s="428" t="str">
        <f>IF(M39="","",IF('Part Building ccASHP Worksheet'!W21="",INDEX('HVAC References'!$G$215:$K$217,MATCH($E39,'HVAC References'!$G$215:$G$217,0),2),'Part Building ccASHP Worksheet'!W21))</f>
        <v/>
      </c>
      <c r="H39" s="428" t="str">
        <f>IF(M39="","",INDEX('HVAC References'!$G$215:$K$217,MATCH($E39,'HVAC References'!$G$215:$G$217,0),4))</f>
        <v/>
      </c>
      <c r="I39" s="428" t="str" cm="1">
        <f t="array" ref="I39">IF(M39="","",IF('Part Building ccASHP Worksheet'!Z21="",INDEX('HVAC References'!$B$215:$E$221,MATCH(D39,'HVAC References'!$B$215:$B$221,0),IF(E39='HVAC References'!$D$214,3,IF(E39='HVAC References'!$E$214,4,IF(E39='HVAC References'!$C$214,2)))),'Part Building ccASHP Worksheet'!Z21))</f>
        <v/>
      </c>
      <c r="J39" s="436">
        <f>IF(D39='HVAC References'!$F$4,0,1)</f>
        <v>1</v>
      </c>
      <c r="K39" s="436">
        <f>IF(D39='HVAC References'!$F$4,1,0)</f>
        <v>0</v>
      </c>
      <c r="M39" s="581" t="str">
        <f>IF('Part Building ccASHP Worksheet'!B21="","",'Part Building ccASHP Worksheet'!B21)</f>
        <v/>
      </c>
      <c r="N39" s="428" t="str">
        <f>IF(M39="","",'Part Building ccASHP Worksheet'!F21)</f>
        <v/>
      </c>
      <c r="O39" s="428" t="str">
        <f>IF(M39="","",'Part Building ccASHP Worksheet'!G21)</f>
        <v/>
      </c>
      <c r="P39" s="428" t="str">
        <f>IF(M39="","",'Part Building ccASHP Worksheet'!I21)</f>
        <v/>
      </c>
      <c r="Q39" s="428" t="str">
        <f>IF(M39="","",'Part Building ccASHP Worksheet'!H21)</f>
        <v/>
      </c>
      <c r="R39" s="428" t="str">
        <f>IF(M39="","",'Part Building ccASHP Worksheet'!J21)</f>
        <v/>
      </c>
      <c r="S39" s="428" t="str">
        <f>IF($M39="","",INDEX('HVAC References'!$T$230:$V$243,MATCH(B39,'HVAC References'!$T$230:$T$243,0),2))</f>
        <v/>
      </c>
      <c r="T39" s="428" t="str">
        <f>IF($M39="","",INDEX('HVAC References'!$T$230:$V$243,MATCH(B39,'HVAC References'!$T$230:$T$243,0),3))</f>
        <v/>
      </c>
      <c r="V39" s="581" t="str">
        <f t="shared" si="19"/>
        <v xml:space="preserve"> </v>
      </c>
      <c r="W39" s="581" t="str">
        <f>IF($M39="","",'Part Building ccASHP Worksheet'!L21)</f>
        <v/>
      </c>
      <c r="X39" s="581" t="str">
        <f>IF($M39="","",'Part Building ccASHP Worksheet'!M21)</f>
        <v/>
      </c>
      <c r="Y39" s="581" t="str">
        <f>IF($M39="","",'Part Building ccASHP Worksheet'!$B$14)</f>
        <v/>
      </c>
      <c r="Z39" s="581" t="str">
        <f>IF(M39="","",X39*'HVAC References'!$D$209)</f>
        <v/>
      </c>
      <c r="AA39" s="581" t="str">
        <f>IF(M39="","",X39*'HVAC References'!$D$210)</f>
        <v/>
      </c>
      <c r="AB39" s="581" t="str">
        <f t="shared" si="20"/>
        <v>Fail</v>
      </c>
      <c r="AC39" s="581" t="str">
        <f t="shared" si="21"/>
        <v>Fail</v>
      </c>
      <c r="AD39" s="581" t="str">
        <f t="shared" si="22"/>
        <v>Fail</v>
      </c>
      <c r="AE39" s="581" t="str">
        <f>IF(AD39="Fail","",INDEX('HVAC References'!$N$215:$R$223,MATCH(V39,'HVAC References'!$N$215:$N$223,0),2))</f>
        <v/>
      </c>
      <c r="AG39" s="581" t="str">
        <f>IF(AE39="","",INDEX('HVAC References'!$F$209:$H$211,MATCH(M39,'HVAC References'!$F$209:$F$211,0),3))</f>
        <v/>
      </c>
      <c r="AH39" s="581" t="str">
        <f>IF(AG39="","",'HVAC References'!$K$236)</f>
        <v/>
      </c>
      <c r="AI39" s="581" t="str">
        <f>IF($AG39="","",INDEX('HVAC References'!$L$230:$R$248,MATCH($AG39,'HVAC References'!$L$230:$L$248,0),2))</f>
        <v/>
      </c>
      <c r="AJ39" s="581" t="str">
        <f>IF($AG39="","",INDEX('HVAC References'!$L$230:$R$248,MATCH($AG39,'HVAC References'!$L$230:$L$248,0),3))</f>
        <v/>
      </c>
      <c r="AK39" s="581" t="str">
        <f>IF($AG39="","",INDEX('HVAC References'!$L$230:$R$248,MATCH($AG39,'HVAC References'!$L$230:$L$248,0),4))</f>
        <v/>
      </c>
      <c r="AL39" s="581" t="str">
        <f>IF($AG39="","",INDEX('HVAC References'!$L$230:$R$248,MATCH($AG39,'HVAC References'!$L$230:$L$248,0),5))</f>
        <v/>
      </c>
      <c r="AM39" s="581" t="str">
        <f>IF(OR(AG39="",E39&lt;&gt;"AO"),"",INDEX('HVAC References'!$G$215:$K$217,MATCH($E39,'HVAC References'!$G$215:$G$217,0),5))</f>
        <v/>
      </c>
      <c r="AN39" s="581" t="str">
        <f>IF($AG39="","",INDEX('HVAC References'!$L$230:$R$248,MATCH($AG39,'HVAC References'!$L$230:$L$248,0),6))</f>
        <v/>
      </c>
      <c r="AO39" s="581" t="str">
        <f>IF($AG39="","",INDEX('HVAC References'!$L$230:$R$248,MATCH($AG39,'HVAC References'!$L$230:$L$248,0),7))</f>
        <v/>
      </c>
      <c r="AP39" s="581" t="str">
        <f t="shared" si="23"/>
        <v/>
      </c>
      <c r="AQ39" s="581" t="str">
        <f t="shared" si="24"/>
        <v/>
      </c>
      <c r="AR39" s="581" t="str">
        <f t="shared" si="25"/>
        <v/>
      </c>
      <c r="AS39" s="581" t="str">
        <f t="shared" si="26"/>
        <v/>
      </c>
      <c r="AU39" s="581" t="str">
        <f t="shared" si="27"/>
        <v/>
      </c>
      <c r="AV39" s="581" t="str">
        <f t="shared" si="28"/>
        <v/>
      </c>
      <c r="AW39" s="581" t="str">
        <f t="shared" si="29"/>
        <v/>
      </c>
      <c r="AX39" s="581" t="str">
        <f t="shared" si="30"/>
        <v/>
      </c>
      <c r="AY39" s="581" t="str">
        <f t="shared" si="31"/>
        <v/>
      </c>
      <c r="AZ39" s="581" t="str">
        <f t="shared" si="32"/>
        <v/>
      </c>
      <c r="BA39" s="581" t="str">
        <f>IF(AE39="","",AX39*'HVAC References'!$H$12)</f>
        <v/>
      </c>
      <c r="BB39" s="581" t="str">
        <f>IF(AE39="","",IF(J39=1,X39*((1/I39)*T39*AN39*(1/1000000))-(AY39*'HVAC References'!$H$12),0))</f>
        <v/>
      </c>
      <c r="BC39" s="581" t="str">
        <f t="shared" si="33"/>
        <v/>
      </c>
      <c r="BE39" s="581" t="str">
        <f>'Part Building ccASHP Worksheet'!Q21</f>
        <v/>
      </c>
      <c r="BF39" s="581">
        <f>IF(AE39="",0,IF('HVAC References'!$K$12="Yes",'HVAC References'!$H$221,'HVAC References'!$H$220))</f>
        <v>0</v>
      </c>
      <c r="BG39" s="581">
        <f t="shared" si="34"/>
        <v>0</v>
      </c>
      <c r="BH39" s="1264"/>
    </row>
    <row r="40" spans="1:60" x14ac:dyDescent="0.25">
      <c r="A40" s="429">
        <v>4</v>
      </c>
      <c r="B40" s="428" t="str">
        <f>IF(AE40="","",IF('Part Building ccASHP Worksheet'!$O$12="","",'Part Building ccASHP Worksheet'!$O$12))</f>
        <v/>
      </c>
      <c r="C40" s="428" t="str">
        <f>IF(M40="","",'Part Building ccASHP Worksheet'!S22)</f>
        <v/>
      </c>
      <c r="D40" s="428" t="str">
        <f>IF(M40="","",'Part Building ccASHP Worksheet'!T22)</f>
        <v/>
      </c>
      <c r="E40" s="433" t="str">
        <f>IF(M40="","",IF(OR(D40='HVAC References'!$B$220,D40='HVAC References'!$B$221),"NC",IF(AND(AND(LEFT(C40,5)&lt;&gt;"Split",LEFT(C40,6)&lt;&gt;"Single"),D40="Oil"),"OC","AO")))</f>
        <v/>
      </c>
      <c r="F40" s="428" t="str">
        <f>IF(M40="","",IF('Part Building ccASHP Worksheet'!V22="",INDEX('HVAC References'!$G$215:$K$217,MATCH($E40,'HVAC References'!$G$215:$G$217,0),3),'Part Building ccASHP Worksheet'!V22))</f>
        <v/>
      </c>
      <c r="G40" s="428" t="str">
        <f>IF(M40="","",IF('Part Building ccASHP Worksheet'!W22="",INDEX('HVAC References'!$G$215:$K$217,MATCH($E40,'HVAC References'!$G$215:$G$217,0),2),'Part Building ccASHP Worksheet'!W22))</f>
        <v/>
      </c>
      <c r="H40" s="428" t="str">
        <f>IF(M40="","",INDEX('HVAC References'!$G$215:$K$217,MATCH($E40,'HVAC References'!$G$215:$G$217,0),4))</f>
        <v/>
      </c>
      <c r="I40" s="428" t="str" cm="1">
        <f t="array" ref="I40">IF(M40="","",IF('Part Building ccASHP Worksheet'!Z22="",INDEX('HVAC References'!$B$215:$E$221,MATCH(D40,'HVAC References'!$B$215:$B$221,0),IF(E40='HVAC References'!$D$214,3,IF(E40='HVAC References'!$E$214,4,IF(E40='HVAC References'!$C$214,2)))),'Part Building ccASHP Worksheet'!Z22))</f>
        <v/>
      </c>
      <c r="J40" s="436">
        <f>IF(D40='HVAC References'!$F$4,0,1)</f>
        <v>1</v>
      </c>
      <c r="K40" s="436">
        <f>IF(D40='HVAC References'!$F$4,1,0)</f>
        <v>0</v>
      </c>
      <c r="M40" s="581" t="str">
        <f>IF('Part Building ccASHP Worksheet'!B22="","",'Part Building ccASHP Worksheet'!B22)</f>
        <v/>
      </c>
      <c r="N40" s="428" t="str">
        <f>IF(M40="","",'Part Building ccASHP Worksheet'!F22)</f>
        <v/>
      </c>
      <c r="O40" s="428" t="str">
        <f>IF(M40="","",'Part Building ccASHP Worksheet'!G22)</f>
        <v/>
      </c>
      <c r="P40" s="428" t="str">
        <f>IF(M40="","",'Part Building ccASHP Worksheet'!I22)</f>
        <v/>
      </c>
      <c r="Q40" s="428" t="str">
        <f>IF(M40="","",'Part Building ccASHP Worksheet'!H22)</f>
        <v/>
      </c>
      <c r="R40" s="428" t="str">
        <f>IF(M40="","",'Part Building ccASHP Worksheet'!J22)</f>
        <v/>
      </c>
      <c r="S40" s="428" t="str">
        <f>IF($M40="","",INDEX('HVAC References'!$T$230:$V$243,MATCH(B40,'HVAC References'!$T$230:$T$243,0),2))</f>
        <v/>
      </c>
      <c r="T40" s="428" t="str">
        <f>IF($M40="","",INDEX('HVAC References'!$T$230:$V$243,MATCH(B40,'HVAC References'!$T$230:$T$243,0),3))</f>
        <v/>
      </c>
      <c r="V40" s="581" t="str">
        <f t="shared" si="19"/>
        <v xml:space="preserve"> </v>
      </c>
      <c r="W40" s="581" t="str">
        <f>IF($M40="","",'Part Building ccASHP Worksheet'!L22)</f>
        <v/>
      </c>
      <c r="X40" s="581" t="str">
        <f>IF($M40="","",'Part Building ccASHP Worksheet'!M22)</f>
        <v/>
      </c>
      <c r="Y40" s="581" t="str">
        <f>IF($M40="","",'Part Building ccASHP Worksheet'!$B$14)</f>
        <v/>
      </c>
      <c r="Z40" s="581" t="str">
        <f>IF(M40="","",X40*'HVAC References'!$D$209)</f>
        <v/>
      </c>
      <c r="AA40" s="581" t="str">
        <f>IF(M40="","",X40*'HVAC References'!$D$210)</f>
        <v/>
      </c>
      <c r="AB40" s="581" t="str">
        <f t="shared" si="20"/>
        <v>Fail</v>
      </c>
      <c r="AC40" s="581" t="str">
        <f t="shared" si="21"/>
        <v>Fail</v>
      </c>
      <c r="AD40" s="581" t="str">
        <f t="shared" si="22"/>
        <v>Fail</v>
      </c>
      <c r="AE40" s="581" t="str">
        <f>IF(AD40="Fail","",INDEX('HVAC References'!$N$215:$R$223,MATCH(V40,'HVAC References'!$N$215:$N$223,0),2))</f>
        <v/>
      </c>
      <c r="AG40" s="581" t="str">
        <f>IF(AE40="","",INDEX('HVAC References'!$F$209:$H$211,MATCH(M40,'HVAC References'!$F$209:$F$211,0),3))</f>
        <v/>
      </c>
      <c r="AH40" s="581" t="str">
        <f>IF(AG40="","",'HVAC References'!$K$236)</f>
        <v/>
      </c>
      <c r="AI40" s="581" t="str">
        <f>IF($AG40="","",INDEX('HVAC References'!$L$230:$R$248,MATCH($AG40,'HVAC References'!$L$230:$L$248,0),2))</f>
        <v/>
      </c>
      <c r="AJ40" s="581" t="str">
        <f>IF($AG40="","",INDEX('HVAC References'!$L$230:$R$248,MATCH($AG40,'HVAC References'!$L$230:$L$248,0),3))</f>
        <v/>
      </c>
      <c r="AK40" s="581" t="str">
        <f>IF($AG40="","",INDEX('HVAC References'!$L$230:$R$248,MATCH($AG40,'HVAC References'!$L$230:$L$248,0),4))</f>
        <v/>
      </c>
      <c r="AL40" s="581" t="str">
        <f>IF($AG40="","",INDEX('HVAC References'!$L$230:$R$248,MATCH($AG40,'HVAC References'!$L$230:$L$248,0),5))</f>
        <v/>
      </c>
      <c r="AM40" s="581" t="str">
        <f>IF(OR(AG40="",E40&lt;&gt;"AO"),"",INDEX('HVAC References'!$G$215:$K$217,MATCH($E40,'HVAC References'!$G$215:$G$217,0),5))</f>
        <v/>
      </c>
      <c r="AN40" s="581" t="str">
        <f>IF($AG40="","",INDEX('HVAC References'!$L$230:$R$248,MATCH($AG40,'HVAC References'!$L$230:$L$248,0),6))</f>
        <v/>
      </c>
      <c r="AO40" s="581" t="str">
        <f>IF($AG40="","",INDEX('HVAC References'!$L$230:$R$248,MATCH($AG40,'HVAC References'!$L$230:$L$248,0),7))</f>
        <v/>
      </c>
      <c r="AP40" s="581" t="str">
        <f t="shared" si="23"/>
        <v/>
      </c>
      <c r="AQ40" s="581" t="str">
        <f t="shared" si="24"/>
        <v/>
      </c>
      <c r="AR40" s="581" t="str">
        <f t="shared" si="25"/>
        <v/>
      </c>
      <c r="AS40" s="581" t="str">
        <f t="shared" si="26"/>
        <v/>
      </c>
      <c r="AU40" s="581" t="str">
        <f t="shared" si="27"/>
        <v/>
      </c>
      <c r="AV40" s="581" t="str">
        <f t="shared" si="28"/>
        <v/>
      </c>
      <c r="AW40" s="581" t="str">
        <f t="shared" si="29"/>
        <v/>
      </c>
      <c r="AX40" s="581" t="str">
        <f t="shared" si="30"/>
        <v/>
      </c>
      <c r="AY40" s="581" t="str">
        <f t="shared" si="31"/>
        <v/>
      </c>
      <c r="AZ40" s="581" t="str">
        <f t="shared" si="32"/>
        <v/>
      </c>
      <c r="BA40" s="581" t="str">
        <f>IF(AE40="","",AX40*'HVAC References'!$H$12)</f>
        <v/>
      </c>
      <c r="BB40" s="581" t="str">
        <f>IF(AE40="","",IF(J40=1,X40*((1/I40)*T40*AN40*(1/1000000))-(AY40*'HVAC References'!$H$12),0))</f>
        <v/>
      </c>
      <c r="BC40" s="581" t="str">
        <f t="shared" si="33"/>
        <v/>
      </c>
      <c r="BE40" s="581" t="str">
        <f>'Part Building ccASHP Worksheet'!Q22</f>
        <v/>
      </c>
      <c r="BF40" s="581">
        <f>IF(AE40="",0,IF('HVAC References'!$K$12="Yes",'HVAC References'!$H$221,'HVAC References'!$H$220))</f>
        <v>0</v>
      </c>
      <c r="BG40" s="581">
        <f t="shared" si="34"/>
        <v>0</v>
      </c>
      <c r="BH40" s="1264"/>
    </row>
    <row r="41" spans="1:60" x14ac:dyDescent="0.25">
      <c r="A41" s="429">
        <v>5</v>
      </c>
      <c r="B41" s="428" t="str">
        <f>IF(AE41="","",IF('Part Building ccASHP Worksheet'!$O$12="","",'Part Building ccASHP Worksheet'!$O$12))</f>
        <v/>
      </c>
      <c r="C41" s="428" t="str">
        <f>IF(M41="","",'Part Building ccASHP Worksheet'!S23)</f>
        <v/>
      </c>
      <c r="D41" s="428" t="str">
        <f>IF(M41="","",'Part Building ccASHP Worksheet'!T23)</f>
        <v/>
      </c>
      <c r="E41" s="433" t="str">
        <f>IF(M41="","",IF(OR(D41='HVAC References'!$B$220,D41='HVAC References'!$B$221),"NC",IF(AND(AND(LEFT(C41,5)&lt;&gt;"Split",LEFT(C41,6)&lt;&gt;"Single"),D41="Oil"),"OC","AO")))</f>
        <v/>
      </c>
      <c r="F41" s="428" t="str">
        <f>IF(M41="","",IF('Part Building ccASHP Worksheet'!V23="",INDEX('HVAC References'!$G$215:$K$217,MATCH($E41,'HVAC References'!$G$215:$G$217,0),3),'Part Building ccASHP Worksheet'!V23))</f>
        <v/>
      </c>
      <c r="G41" s="428" t="str">
        <f>IF(M41="","",IF('Part Building ccASHP Worksheet'!W23="",INDEX('HVAC References'!$G$215:$K$217,MATCH($E41,'HVAC References'!$G$215:$G$217,0),2),'Part Building ccASHP Worksheet'!W23))</f>
        <v/>
      </c>
      <c r="H41" s="428" t="str">
        <f>IF(M41="","",INDEX('HVAC References'!$G$215:$K$217,MATCH($E41,'HVAC References'!$G$215:$G$217,0),4))</f>
        <v/>
      </c>
      <c r="I41" s="428" t="str" cm="1">
        <f t="array" ref="I41">IF(M41="","",IF('Part Building ccASHP Worksheet'!Z23="",INDEX('HVAC References'!$B$215:$E$221,MATCH(D41,'HVAC References'!$B$215:$B$221,0),IF(E41='HVAC References'!$D$214,3,IF(E41='HVAC References'!$E$214,4,IF(E41='HVAC References'!$C$214,2)))),'Part Building ccASHP Worksheet'!Z23))</f>
        <v/>
      </c>
      <c r="J41" s="436">
        <f>IF(D41='HVAC References'!$F$4,0,1)</f>
        <v>1</v>
      </c>
      <c r="K41" s="436">
        <f>IF(D41='HVAC References'!$F$4,1,0)</f>
        <v>0</v>
      </c>
      <c r="M41" s="581" t="str">
        <f>IF('Part Building ccASHP Worksheet'!B23="","",'Part Building ccASHP Worksheet'!B23)</f>
        <v/>
      </c>
      <c r="N41" s="428" t="str">
        <f>IF(M41="","",'Part Building ccASHP Worksheet'!F23)</f>
        <v/>
      </c>
      <c r="O41" s="428" t="str">
        <f>IF(M41="","",'Part Building ccASHP Worksheet'!G23)</f>
        <v/>
      </c>
      <c r="P41" s="428" t="str">
        <f>IF(M41="","",'Part Building ccASHP Worksheet'!I23)</f>
        <v/>
      </c>
      <c r="Q41" s="428" t="str">
        <f>IF(M41="","",'Part Building ccASHP Worksheet'!H23)</f>
        <v/>
      </c>
      <c r="R41" s="428" t="str">
        <f>IF(M41="","",'Part Building ccASHP Worksheet'!J23)</f>
        <v/>
      </c>
      <c r="S41" s="428" t="str">
        <f>IF($M41="","",INDEX('HVAC References'!$T$230:$V$243,MATCH(B41,'HVAC References'!$T$230:$T$243,0),2))</f>
        <v/>
      </c>
      <c r="T41" s="428" t="str">
        <f>IF($M41="","",INDEX('HVAC References'!$T$230:$V$243,MATCH(B41,'HVAC References'!$T$230:$T$243,0),3))</f>
        <v/>
      </c>
      <c r="V41" s="581" t="str">
        <f t="shared" si="19"/>
        <v xml:space="preserve"> </v>
      </c>
      <c r="W41" s="581" t="str">
        <f>IF($M41="","",'Part Building ccASHP Worksheet'!L23)</f>
        <v/>
      </c>
      <c r="X41" s="581" t="str">
        <f>IF($M41="","",'Part Building ccASHP Worksheet'!M23)</f>
        <v/>
      </c>
      <c r="Y41" s="581" t="str">
        <f>IF($M41="","",'Part Building ccASHP Worksheet'!$B$14)</f>
        <v/>
      </c>
      <c r="Z41" s="581" t="str">
        <f>IF(M41="","",X41*'HVAC References'!$D$209)</f>
        <v/>
      </c>
      <c r="AA41" s="581" t="str">
        <f>IF(M41="","",X41*'HVAC References'!$D$210)</f>
        <v/>
      </c>
      <c r="AB41" s="581" t="str">
        <f t="shared" si="20"/>
        <v>Fail</v>
      </c>
      <c r="AC41" s="581" t="str">
        <f t="shared" si="21"/>
        <v>Fail</v>
      </c>
      <c r="AD41" s="581" t="str">
        <f t="shared" si="22"/>
        <v>Fail</v>
      </c>
      <c r="AE41" s="581" t="str">
        <f>IF(AD41="Fail","",INDEX('HVAC References'!$N$215:$R$223,MATCH(V41,'HVAC References'!$N$215:$N$223,0),2))</f>
        <v/>
      </c>
      <c r="AG41" s="581" t="str">
        <f>IF(AE41="","",INDEX('HVAC References'!$F$209:$H$211,MATCH(M41,'HVAC References'!$F$209:$F$211,0),3))</f>
        <v/>
      </c>
      <c r="AH41" s="581" t="str">
        <f>IF(AG41="","",'HVAC References'!$K$236)</f>
        <v/>
      </c>
      <c r="AI41" s="581" t="str">
        <f>IF($AG41="","",INDEX('HVAC References'!$L$230:$R$248,MATCH($AG41,'HVAC References'!$L$230:$L$248,0),2))</f>
        <v/>
      </c>
      <c r="AJ41" s="581" t="str">
        <f>IF($AG41="","",INDEX('HVAC References'!$L$230:$R$248,MATCH($AG41,'HVAC References'!$L$230:$L$248,0),3))</f>
        <v/>
      </c>
      <c r="AK41" s="581" t="str">
        <f>IF($AG41="","",INDEX('HVAC References'!$L$230:$R$248,MATCH($AG41,'HVAC References'!$L$230:$L$248,0),4))</f>
        <v/>
      </c>
      <c r="AL41" s="581" t="str">
        <f>IF($AG41="","",INDEX('HVAC References'!$L$230:$R$248,MATCH($AG41,'HVAC References'!$L$230:$L$248,0),5))</f>
        <v/>
      </c>
      <c r="AM41" s="581" t="str">
        <f>IF(OR(AG41="",E41&lt;&gt;"AO"),"",INDEX('HVAC References'!$G$215:$K$217,MATCH($E41,'HVAC References'!$G$215:$G$217,0),5))</f>
        <v/>
      </c>
      <c r="AN41" s="581" t="str">
        <f>IF($AG41="","",INDEX('HVAC References'!$L$230:$R$248,MATCH($AG41,'HVAC References'!$L$230:$L$248,0),6))</f>
        <v/>
      </c>
      <c r="AO41" s="581" t="str">
        <f>IF($AG41="","",INDEX('HVAC References'!$L$230:$R$248,MATCH($AG41,'HVAC References'!$L$230:$L$248,0),7))</f>
        <v/>
      </c>
      <c r="AP41" s="581" t="str">
        <f t="shared" si="23"/>
        <v/>
      </c>
      <c r="AQ41" s="581" t="str">
        <f t="shared" si="24"/>
        <v/>
      </c>
      <c r="AR41" s="581" t="str">
        <f t="shared" si="25"/>
        <v/>
      </c>
      <c r="AS41" s="581" t="str">
        <f t="shared" si="26"/>
        <v/>
      </c>
      <c r="AU41" s="581" t="str">
        <f t="shared" si="27"/>
        <v/>
      </c>
      <c r="AV41" s="581" t="str">
        <f t="shared" si="28"/>
        <v/>
      </c>
      <c r="AW41" s="581" t="str">
        <f t="shared" si="29"/>
        <v/>
      </c>
      <c r="AX41" s="581" t="str">
        <f t="shared" si="30"/>
        <v/>
      </c>
      <c r="AY41" s="581" t="str">
        <f t="shared" si="31"/>
        <v/>
      </c>
      <c r="AZ41" s="581" t="str">
        <f t="shared" si="32"/>
        <v/>
      </c>
      <c r="BA41" s="581" t="str">
        <f>IF(AE41="","",AX41*'HVAC References'!$H$12)</f>
        <v/>
      </c>
      <c r="BB41" s="581" t="str">
        <f>IF(AE41="","",IF(J41=1,X41*((1/I41)*T41*AN41*(1/1000000))-(AY41*'HVAC References'!$H$12),0))</f>
        <v/>
      </c>
      <c r="BC41" s="581" t="str">
        <f t="shared" si="33"/>
        <v/>
      </c>
      <c r="BE41" s="581" t="str">
        <f>'Part Building ccASHP Worksheet'!Q23</f>
        <v/>
      </c>
      <c r="BF41" s="581">
        <f>IF(AE41="",0,IF('HVAC References'!$K$12="Yes",'HVAC References'!$H$221,'HVAC References'!$H$220))</f>
        <v>0</v>
      </c>
      <c r="BG41" s="581">
        <f t="shared" si="34"/>
        <v>0</v>
      </c>
      <c r="BH41" s="1264"/>
    </row>
    <row r="42" spans="1:60" x14ac:dyDescent="0.25">
      <c r="A42" s="429">
        <v>6</v>
      </c>
      <c r="B42" s="428" t="str">
        <f>IF(AE42="","",IF('Part Building ccASHP Worksheet'!$O$12="","",'Part Building ccASHP Worksheet'!$O$12))</f>
        <v/>
      </c>
      <c r="C42" s="428" t="str">
        <f>IF(M42="","",'Part Building ccASHP Worksheet'!S24)</f>
        <v/>
      </c>
      <c r="D42" s="428" t="str">
        <f>IF(M42="","",'Part Building ccASHP Worksheet'!T24)</f>
        <v/>
      </c>
      <c r="E42" s="433" t="str">
        <f>IF(M42="","",IF(OR(D42='HVAC References'!$B$220,D42='HVAC References'!$B$221),"NC",IF(AND(AND(LEFT(C42,5)&lt;&gt;"Split",LEFT(C42,6)&lt;&gt;"Single"),D42="Oil"),"OC","AO")))</f>
        <v/>
      </c>
      <c r="F42" s="428" t="str">
        <f>IF(M42="","",IF('Part Building ccASHP Worksheet'!V24="",INDEX('HVAC References'!$G$215:$K$217,MATCH($E42,'HVAC References'!$G$215:$G$217,0),3),'Part Building ccASHP Worksheet'!V24))</f>
        <v/>
      </c>
      <c r="G42" s="428" t="str">
        <f>IF(M42="","",IF('Part Building ccASHP Worksheet'!W24="",INDEX('HVAC References'!$G$215:$K$217,MATCH($E42,'HVAC References'!$G$215:$G$217,0),2),'Part Building ccASHP Worksheet'!W24))</f>
        <v/>
      </c>
      <c r="H42" s="428" t="str">
        <f>IF(M42="","",INDEX('HVAC References'!$G$215:$K$217,MATCH($E42,'HVAC References'!$G$215:$G$217,0),4))</f>
        <v/>
      </c>
      <c r="I42" s="428" t="str" cm="1">
        <f t="array" ref="I42">IF(M42="","",IF('Part Building ccASHP Worksheet'!Z24="",INDEX('HVAC References'!$B$215:$E$221,MATCH(D42,'HVAC References'!$B$215:$B$221,0),IF(E42='HVAC References'!$D$214,3,IF(E42='HVAC References'!$E$214,4,IF(E42='HVAC References'!$C$214,2)))),'Part Building ccASHP Worksheet'!Z24))</f>
        <v/>
      </c>
      <c r="J42" s="436">
        <f>IF(D42='HVAC References'!$F$4,0,1)</f>
        <v>1</v>
      </c>
      <c r="K42" s="436">
        <f>IF(D42='HVAC References'!$F$4,1,0)</f>
        <v>0</v>
      </c>
      <c r="M42" s="581" t="str">
        <f>IF('Part Building ccASHP Worksheet'!B24="","",'Part Building ccASHP Worksheet'!B24)</f>
        <v/>
      </c>
      <c r="N42" s="428" t="str">
        <f>IF(M42="","",'Part Building ccASHP Worksheet'!F24)</f>
        <v/>
      </c>
      <c r="O42" s="428" t="str">
        <f>IF(M42="","",'Part Building ccASHP Worksheet'!G24)</f>
        <v/>
      </c>
      <c r="P42" s="428" t="str">
        <f>IF(M42="","",'Part Building ccASHP Worksheet'!I24)</f>
        <v/>
      </c>
      <c r="Q42" s="428" t="str">
        <f>IF(M42="","",'Part Building ccASHP Worksheet'!H24)</f>
        <v/>
      </c>
      <c r="R42" s="428" t="str">
        <f>IF(M42="","",'Part Building ccASHP Worksheet'!J24)</f>
        <v/>
      </c>
      <c r="S42" s="428" t="str">
        <f>IF($M42="","",INDEX('HVAC References'!$T$230:$V$243,MATCH(B42,'HVAC References'!$T$230:$T$243,0),2))</f>
        <v/>
      </c>
      <c r="T42" s="428" t="str">
        <f>IF($M42="","",INDEX('HVAC References'!$T$230:$V$243,MATCH(B42,'HVAC References'!$T$230:$T$243,0),3))</f>
        <v/>
      </c>
      <c r="V42" s="581" t="str">
        <f t="shared" si="19"/>
        <v xml:space="preserve"> </v>
      </c>
      <c r="W42" s="581" t="str">
        <f>IF($M42="","",'Part Building ccASHP Worksheet'!L24)</f>
        <v/>
      </c>
      <c r="X42" s="581" t="str">
        <f>IF($M42="","",'Part Building ccASHP Worksheet'!M24)</f>
        <v/>
      </c>
      <c r="Y42" s="581" t="str">
        <f>IF($M42="","",'Part Building ccASHP Worksheet'!$B$14)</f>
        <v/>
      </c>
      <c r="Z42" s="581" t="str">
        <f>IF(M42="","",X42*'HVAC References'!$D$209)</f>
        <v/>
      </c>
      <c r="AA42" s="581" t="str">
        <f>IF(M42="","",X42*'HVAC References'!$D$210)</f>
        <v/>
      </c>
      <c r="AB42" s="581" t="str">
        <f t="shared" si="20"/>
        <v>Fail</v>
      </c>
      <c r="AC42" s="581" t="str">
        <f t="shared" si="21"/>
        <v>Fail</v>
      </c>
      <c r="AD42" s="581" t="str">
        <f t="shared" si="22"/>
        <v>Fail</v>
      </c>
      <c r="AE42" s="581" t="str">
        <f>IF(AD42="Fail","",INDEX('HVAC References'!$N$215:$R$223,MATCH(V42,'HVAC References'!$N$215:$N$223,0),2))</f>
        <v/>
      </c>
      <c r="AG42" s="581" t="str">
        <f>IF(AE42="","",INDEX('HVAC References'!$F$209:$H$211,MATCH(M42,'HVAC References'!$F$209:$F$211,0),3))</f>
        <v/>
      </c>
      <c r="AH42" s="581" t="str">
        <f>IF(AG42="","",'HVAC References'!$K$236)</f>
        <v/>
      </c>
      <c r="AI42" s="581" t="str">
        <f>IF($AG42="","",INDEX('HVAC References'!$L$230:$R$248,MATCH($AG42,'HVAC References'!$L$230:$L$248,0),2))</f>
        <v/>
      </c>
      <c r="AJ42" s="581" t="str">
        <f>IF($AG42="","",INDEX('HVAC References'!$L$230:$R$248,MATCH($AG42,'HVAC References'!$L$230:$L$248,0),3))</f>
        <v/>
      </c>
      <c r="AK42" s="581" t="str">
        <f>IF($AG42="","",INDEX('HVAC References'!$L$230:$R$248,MATCH($AG42,'HVAC References'!$L$230:$L$248,0),4))</f>
        <v/>
      </c>
      <c r="AL42" s="581" t="str">
        <f>IF($AG42="","",INDEX('HVAC References'!$L$230:$R$248,MATCH($AG42,'HVAC References'!$L$230:$L$248,0),5))</f>
        <v/>
      </c>
      <c r="AM42" s="581" t="str">
        <f>IF(OR(AG42="",E42&lt;&gt;"AO"),"",INDEX('HVAC References'!$G$215:$K$217,MATCH($E42,'HVAC References'!$G$215:$G$217,0),5))</f>
        <v/>
      </c>
      <c r="AN42" s="581" t="str">
        <f>IF($AG42="","",INDEX('HVAC References'!$L$230:$R$248,MATCH($AG42,'HVAC References'!$L$230:$L$248,0),6))</f>
        <v/>
      </c>
      <c r="AO42" s="581" t="str">
        <f>IF($AG42="","",INDEX('HVAC References'!$L$230:$R$248,MATCH($AG42,'HVAC References'!$L$230:$L$248,0),7))</f>
        <v/>
      </c>
      <c r="AP42" s="581" t="str">
        <f t="shared" si="23"/>
        <v/>
      </c>
      <c r="AQ42" s="581" t="str">
        <f t="shared" si="24"/>
        <v/>
      </c>
      <c r="AR42" s="581" t="str">
        <f t="shared" si="25"/>
        <v/>
      </c>
      <c r="AS42" s="581" t="str">
        <f t="shared" si="26"/>
        <v/>
      </c>
      <c r="AU42" s="581" t="str">
        <f t="shared" si="27"/>
        <v/>
      </c>
      <c r="AV42" s="581" t="str">
        <f t="shared" si="28"/>
        <v/>
      </c>
      <c r="AW42" s="581" t="str">
        <f t="shared" si="29"/>
        <v/>
      </c>
      <c r="AX42" s="581" t="str">
        <f t="shared" si="30"/>
        <v/>
      </c>
      <c r="AY42" s="581" t="str">
        <f t="shared" si="31"/>
        <v/>
      </c>
      <c r="AZ42" s="581" t="str">
        <f t="shared" si="32"/>
        <v/>
      </c>
      <c r="BA42" s="581" t="str">
        <f>IF(AE42="","",AX42*'HVAC References'!$H$12)</f>
        <v/>
      </c>
      <c r="BB42" s="581" t="str">
        <f>IF(AE42="","",IF(J42=1,X42*((1/I42)*T42*AN42*(1/1000000))-(AY42*'HVAC References'!$H$12),0))</f>
        <v/>
      </c>
      <c r="BC42" s="581" t="str">
        <f t="shared" si="33"/>
        <v/>
      </c>
      <c r="BE42" s="581" t="str">
        <f>'Part Building ccASHP Worksheet'!Q24</f>
        <v/>
      </c>
      <c r="BF42" s="581">
        <f>IF(AE42="",0,IF('HVAC References'!$K$12="Yes",'HVAC References'!$H$221,'HVAC References'!$H$220))</f>
        <v>0</v>
      </c>
      <c r="BG42" s="581">
        <f t="shared" si="34"/>
        <v>0</v>
      </c>
      <c r="BH42" s="1264"/>
    </row>
    <row r="43" spans="1:60" x14ac:dyDescent="0.25">
      <c r="A43" s="429">
        <v>7</v>
      </c>
      <c r="B43" s="428" t="str">
        <f>IF(AE43="","",IF('Part Building ccASHP Worksheet'!$O$12="","",'Part Building ccASHP Worksheet'!$O$12))</f>
        <v/>
      </c>
      <c r="C43" s="428" t="str">
        <f>IF(M43="","",'Part Building ccASHP Worksheet'!S25)</f>
        <v/>
      </c>
      <c r="D43" s="428" t="str">
        <f>IF(M43="","",'Part Building ccASHP Worksheet'!T25)</f>
        <v/>
      </c>
      <c r="E43" s="433" t="str">
        <f>IF(M43="","",IF(OR(D43='HVAC References'!$B$220,D43='HVAC References'!$B$221),"NC",IF(AND(AND(LEFT(C43,5)&lt;&gt;"Split",LEFT(C43,6)&lt;&gt;"Single"),D43="Oil"),"OC","AO")))</f>
        <v/>
      </c>
      <c r="F43" s="428" t="str">
        <f>IF(M43="","",IF('Part Building ccASHP Worksheet'!V25="",INDEX('HVAC References'!$G$215:$K$217,MATCH($E43,'HVAC References'!$G$215:$G$217,0),3),'Part Building ccASHP Worksheet'!V25))</f>
        <v/>
      </c>
      <c r="G43" s="428" t="str">
        <f>IF(M43="","",IF('Part Building ccASHP Worksheet'!W25="",INDEX('HVAC References'!$G$215:$K$217,MATCH($E43,'HVAC References'!$G$215:$G$217,0),2),'Part Building ccASHP Worksheet'!W25))</f>
        <v/>
      </c>
      <c r="H43" s="428" t="str">
        <f>IF(M43="","",INDEX('HVAC References'!$G$215:$K$217,MATCH($E43,'HVAC References'!$G$215:$G$217,0),4))</f>
        <v/>
      </c>
      <c r="I43" s="428" t="str" cm="1">
        <f t="array" ref="I43">IF(M43="","",IF('Part Building ccASHP Worksheet'!Z25="",INDEX('HVAC References'!$B$215:$E$221,MATCH(D43,'HVAC References'!$B$215:$B$221,0),IF(E43='HVAC References'!$D$214,3,IF(E43='HVAC References'!$E$214,4,IF(E43='HVAC References'!$C$214,2)))),'Part Building ccASHP Worksheet'!Z25))</f>
        <v/>
      </c>
      <c r="J43" s="436">
        <f>IF(D43='HVAC References'!$F$4,0,1)</f>
        <v>1</v>
      </c>
      <c r="K43" s="436">
        <f>IF(D43='HVAC References'!$F$4,1,0)</f>
        <v>0</v>
      </c>
      <c r="M43" s="581" t="str">
        <f>IF('Part Building ccASHP Worksheet'!B25="","",'Part Building ccASHP Worksheet'!B25)</f>
        <v/>
      </c>
      <c r="N43" s="428" t="str">
        <f>IF(M43="","",'Part Building ccASHP Worksheet'!F25)</f>
        <v/>
      </c>
      <c r="O43" s="428" t="str">
        <f>IF(M43="","",'Part Building ccASHP Worksheet'!G25)</f>
        <v/>
      </c>
      <c r="P43" s="428" t="str">
        <f>IF(M43="","",'Part Building ccASHP Worksheet'!I25)</f>
        <v/>
      </c>
      <c r="Q43" s="428" t="str">
        <f>IF(M43="","",'Part Building ccASHP Worksheet'!H25)</f>
        <v/>
      </c>
      <c r="R43" s="428" t="str">
        <f>IF(M43="","",'Part Building ccASHP Worksheet'!J25)</f>
        <v/>
      </c>
      <c r="S43" s="428" t="str">
        <f>IF($M43="","",INDEX('HVAC References'!$T$230:$V$243,MATCH(B43,'HVAC References'!$T$230:$T$243,0),2))</f>
        <v/>
      </c>
      <c r="T43" s="428" t="str">
        <f>IF($M43="","",INDEX('HVAC References'!$T$230:$V$243,MATCH(B43,'HVAC References'!$T$230:$T$243,0),3))</f>
        <v/>
      </c>
      <c r="V43" s="581" t="str">
        <f t="shared" si="19"/>
        <v xml:space="preserve"> </v>
      </c>
      <c r="W43" s="581" t="str">
        <f>IF($M43="","",'Part Building ccASHP Worksheet'!L25)</f>
        <v/>
      </c>
      <c r="X43" s="581" t="str">
        <f>IF($M43="","",'Part Building ccASHP Worksheet'!M25)</f>
        <v/>
      </c>
      <c r="Y43" s="581" t="str">
        <f>IF($M43="","",'Part Building ccASHP Worksheet'!$B$14)</f>
        <v/>
      </c>
      <c r="Z43" s="581" t="str">
        <f>IF(M43="","",X43*'HVAC References'!$D$209)</f>
        <v/>
      </c>
      <c r="AA43" s="581" t="str">
        <f>IF(M43="","",X43*'HVAC References'!$D$210)</f>
        <v/>
      </c>
      <c r="AB43" s="581" t="str">
        <f t="shared" si="20"/>
        <v>Fail</v>
      </c>
      <c r="AC43" s="581" t="str">
        <f t="shared" si="21"/>
        <v>Fail</v>
      </c>
      <c r="AD43" s="581" t="str">
        <f t="shared" si="22"/>
        <v>Fail</v>
      </c>
      <c r="AE43" s="581" t="str">
        <f>IF(AD43="Fail","",INDEX('HVAC References'!$N$215:$R$223,MATCH(V43,'HVAC References'!$N$215:$N$223,0),2))</f>
        <v/>
      </c>
      <c r="AG43" s="581" t="str">
        <f>IF(AE43="","",INDEX('HVAC References'!$F$209:$H$211,MATCH(M43,'HVAC References'!$F$209:$F$211,0),3))</f>
        <v/>
      </c>
      <c r="AH43" s="581" t="str">
        <f>IF(AG43="","",'HVAC References'!$K$236)</f>
        <v/>
      </c>
      <c r="AI43" s="581" t="str">
        <f>IF($AG43="","",INDEX('HVAC References'!$L$230:$R$248,MATCH($AG43,'HVAC References'!$L$230:$L$248,0),2))</f>
        <v/>
      </c>
      <c r="AJ43" s="581" t="str">
        <f>IF($AG43="","",INDEX('HVAC References'!$L$230:$R$248,MATCH($AG43,'HVAC References'!$L$230:$L$248,0),3))</f>
        <v/>
      </c>
      <c r="AK43" s="581" t="str">
        <f>IF($AG43="","",INDEX('HVAC References'!$L$230:$R$248,MATCH($AG43,'HVAC References'!$L$230:$L$248,0),4))</f>
        <v/>
      </c>
      <c r="AL43" s="581" t="str">
        <f>IF($AG43="","",INDEX('HVAC References'!$L$230:$R$248,MATCH($AG43,'HVAC References'!$L$230:$L$248,0),5))</f>
        <v/>
      </c>
      <c r="AM43" s="581" t="str">
        <f>IF(OR(AG43="",E43&lt;&gt;"AO"),"",INDEX('HVAC References'!$G$215:$K$217,MATCH($E43,'HVAC References'!$G$215:$G$217,0),5))</f>
        <v/>
      </c>
      <c r="AN43" s="581" t="str">
        <f>IF($AG43="","",INDEX('HVAC References'!$L$230:$R$248,MATCH($AG43,'HVAC References'!$L$230:$L$248,0),6))</f>
        <v/>
      </c>
      <c r="AO43" s="581" t="str">
        <f>IF($AG43="","",INDEX('HVAC References'!$L$230:$R$248,MATCH($AG43,'HVAC References'!$L$230:$L$248,0),7))</f>
        <v/>
      </c>
      <c r="AP43" s="581" t="str">
        <f t="shared" si="23"/>
        <v/>
      </c>
      <c r="AQ43" s="581" t="str">
        <f t="shared" si="24"/>
        <v/>
      </c>
      <c r="AR43" s="581" t="str">
        <f t="shared" si="25"/>
        <v/>
      </c>
      <c r="AS43" s="581" t="str">
        <f t="shared" si="26"/>
        <v/>
      </c>
      <c r="AU43" s="581" t="str">
        <f t="shared" si="27"/>
        <v/>
      </c>
      <c r="AV43" s="581" t="str">
        <f t="shared" si="28"/>
        <v/>
      </c>
      <c r="AW43" s="581" t="str">
        <f t="shared" si="29"/>
        <v/>
      </c>
      <c r="AX43" s="581" t="str">
        <f t="shared" si="30"/>
        <v/>
      </c>
      <c r="AY43" s="581" t="str">
        <f t="shared" si="31"/>
        <v/>
      </c>
      <c r="AZ43" s="581" t="str">
        <f t="shared" si="32"/>
        <v/>
      </c>
      <c r="BA43" s="581" t="str">
        <f>IF(AE43="","",AX43*'HVAC References'!$H$12)</f>
        <v/>
      </c>
      <c r="BB43" s="581" t="str">
        <f>IF(AE43="","",IF(J43=1,X43*((1/I43)*T43*AN43*(1/1000000))-(AY43*'HVAC References'!$H$12),0))</f>
        <v/>
      </c>
      <c r="BC43" s="581" t="str">
        <f t="shared" si="33"/>
        <v/>
      </c>
      <c r="BE43" s="581" t="str">
        <f>'Part Building ccASHP Worksheet'!Q25</f>
        <v/>
      </c>
      <c r="BF43" s="581">
        <f>IF(AE43="",0,IF('HVAC References'!$K$12="Yes",'HVAC References'!$H$221,'HVAC References'!$H$220))</f>
        <v>0</v>
      </c>
      <c r="BG43" s="581">
        <f t="shared" si="34"/>
        <v>0</v>
      </c>
      <c r="BH43" s="1264"/>
    </row>
    <row r="44" spans="1:60" x14ac:dyDescent="0.25">
      <c r="A44" s="429">
        <v>8</v>
      </c>
      <c r="B44" s="428" t="str">
        <f>IF(AE44="","",IF('Part Building ccASHP Worksheet'!$O$12="","",'Part Building ccASHP Worksheet'!$O$12))</f>
        <v/>
      </c>
      <c r="C44" s="428" t="str">
        <f>IF(M44="","",'Part Building ccASHP Worksheet'!S26)</f>
        <v/>
      </c>
      <c r="D44" s="428" t="str">
        <f>IF(M44="","",'Part Building ccASHP Worksheet'!T26)</f>
        <v/>
      </c>
      <c r="E44" s="433" t="str">
        <f>IF(M44="","",IF(OR(D44='HVAC References'!$B$220,D44='HVAC References'!$B$221),"NC",IF(AND(AND(LEFT(C44,5)&lt;&gt;"Split",LEFT(C44,6)&lt;&gt;"Single"),D44="Oil"),"OC","AO")))</f>
        <v/>
      </c>
      <c r="F44" s="428" t="str">
        <f>IF(M44="","",IF('Part Building ccASHP Worksheet'!V26="",INDEX('HVAC References'!$G$215:$K$217,MATCH($E44,'HVAC References'!$G$215:$G$217,0),3),'Part Building ccASHP Worksheet'!V26))</f>
        <v/>
      </c>
      <c r="G44" s="428" t="str">
        <f>IF(M44="","",IF('Part Building ccASHP Worksheet'!W26="",INDEX('HVAC References'!$G$215:$K$217,MATCH($E44,'HVAC References'!$G$215:$G$217,0),2),'Part Building ccASHP Worksheet'!W26))</f>
        <v/>
      </c>
      <c r="H44" s="428" t="str">
        <f>IF(M44="","",INDEX('HVAC References'!$G$215:$K$217,MATCH($E44,'HVAC References'!$G$215:$G$217,0),4))</f>
        <v/>
      </c>
      <c r="I44" s="428" t="str" cm="1">
        <f t="array" ref="I44">IF(M44="","",IF('Part Building ccASHP Worksheet'!Z26="",INDEX('HVAC References'!$B$215:$E$221,MATCH(D44,'HVAC References'!$B$215:$B$221,0),IF(E44='HVAC References'!$D$214,3,IF(E44='HVAC References'!$E$214,4,IF(E44='HVAC References'!$C$214,2)))),'Part Building ccASHP Worksheet'!Z26))</f>
        <v/>
      </c>
      <c r="J44" s="436">
        <f>IF(D44='HVAC References'!$F$4,0,1)</f>
        <v>1</v>
      </c>
      <c r="K44" s="436">
        <f>IF(D44='HVAC References'!$F$4,1,0)</f>
        <v>0</v>
      </c>
      <c r="M44" s="581" t="str">
        <f>IF('Part Building ccASHP Worksheet'!B26="","",'Part Building ccASHP Worksheet'!B26)</f>
        <v/>
      </c>
      <c r="N44" s="428" t="str">
        <f>IF(M44="","",'Part Building ccASHP Worksheet'!F26)</f>
        <v/>
      </c>
      <c r="O44" s="428" t="str">
        <f>IF(M44="","",'Part Building ccASHP Worksheet'!G26)</f>
        <v/>
      </c>
      <c r="P44" s="428" t="str">
        <f>IF(M44="","",'Part Building ccASHP Worksheet'!I26)</f>
        <v/>
      </c>
      <c r="Q44" s="428" t="str">
        <f>IF(M44="","",'Part Building ccASHP Worksheet'!H26)</f>
        <v/>
      </c>
      <c r="R44" s="428" t="str">
        <f>IF(M44="","",'Part Building ccASHP Worksheet'!J26)</f>
        <v/>
      </c>
      <c r="S44" s="428" t="str">
        <f>IF($M44="","",INDEX('HVAC References'!$T$230:$V$243,MATCH(B44,'HVAC References'!$T$230:$T$243,0),2))</f>
        <v/>
      </c>
      <c r="T44" s="428" t="str">
        <f>IF($M44="","",INDEX('HVAC References'!$T$230:$V$243,MATCH(B44,'HVAC References'!$T$230:$T$243,0),3))</f>
        <v/>
      </c>
      <c r="V44" s="581" t="str">
        <f t="shared" si="19"/>
        <v xml:space="preserve"> </v>
      </c>
      <c r="W44" s="581" t="str">
        <f>IF($M44="","",'Part Building ccASHP Worksheet'!L26)</f>
        <v/>
      </c>
      <c r="X44" s="581" t="str">
        <f>IF($M44="","",'Part Building ccASHP Worksheet'!M26)</f>
        <v/>
      </c>
      <c r="Y44" s="581" t="str">
        <f>IF($M44="","",'Part Building ccASHP Worksheet'!$B$14)</f>
        <v/>
      </c>
      <c r="Z44" s="581" t="str">
        <f>IF(M44="","",X44*'HVAC References'!$D$209)</f>
        <v/>
      </c>
      <c r="AA44" s="581" t="str">
        <f>IF(M44="","",X44*'HVAC References'!$D$210)</f>
        <v/>
      </c>
      <c r="AB44" s="581" t="str">
        <f t="shared" si="20"/>
        <v>Fail</v>
      </c>
      <c r="AC44" s="581" t="str">
        <f t="shared" si="21"/>
        <v>Fail</v>
      </c>
      <c r="AD44" s="581" t="str">
        <f t="shared" si="22"/>
        <v>Fail</v>
      </c>
      <c r="AE44" s="581" t="str">
        <f>IF(AD44="Fail","",INDEX('HVAC References'!$N$215:$R$223,MATCH(V44,'HVAC References'!$N$215:$N$223,0),2))</f>
        <v/>
      </c>
      <c r="AG44" s="581" t="str">
        <f>IF(AE44="","",INDEX('HVAC References'!$F$209:$H$211,MATCH(M44,'HVAC References'!$F$209:$F$211,0),3))</f>
        <v/>
      </c>
      <c r="AH44" s="581" t="str">
        <f>IF(AG44="","",'HVAC References'!$K$236)</f>
        <v/>
      </c>
      <c r="AI44" s="581" t="str">
        <f>IF($AG44="","",INDEX('HVAC References'!$L$230:$R$248,MATCH($AG44,'HVAC References'!$L$230:$L$248,0),2))</f>
        <v/>
      </c>
      <c r="AJ44" s="581" t="str">
        <f>IF($AG44="","",INDEX('HVAC References'!$L$230:$R$248,MATCH($AG44,'HVAC References'!$L$230:$L$248,0),3))</f>
        <v/>
      </c>
      <c r="AK44" s="581" t="str">
        <f>IF($AG44="","",INDEX('HVAC References'!$L$230:$R$248,MATCH($AG44,'HVAC References'!$L$230:$L$248,0),4))</f>
        <v/>
      </c>
      <c r="AL44" s="581" t="str">
        <f>IF($AG44="","",INDEX('HVAC References'!$L$230:$R$248,MATCH($AG44,'HVAC References'!$L$230:$L$248,0),5))</f>
        <v/>
      </c>
      <c r="AM44" s="581" t="str">
        <f>IF(OR(AG44="",E44&lt;&gt;"AO"),"",INDEX('HVAC References'!$G$215:$K$217,MATCH($E44,'HVAC References'!$G$215:$G$217,0),5))</f>
        <v/>
      </c>
      <c r="AN44" s="581" t="str">
        <f>IF($AG44="","",INDEX('HVAC References'!$L$230:$R$248,MATCH($AG44,'HVAC References'!$L$230:$L$248,0),6))</f>
        <v/>
      </c>
      <c r="AO44" s="581" t="str">
        <f>IF($AG44="","",INDEX('HVAC References'!$L$230:$R$248,MATCH($AG44,'HVAC References'!$L$230:$L$248,0),7))</f>
        <v/>
      </c>
      <c r="AP44" s="581" t="str">
        <f t="shared" si="23"/>
        <v/>
      </c>
      <c r="AQ44" s="581" t="str">
        <f t="shared" si="24"/>
        <v/>
      </c>
      <c r="AR44" s="581" t="str">
        <f t="shared" si="25"/>
        <v/>
      </c>
      <c r="AS44" s="581" t="str">
        <f t="shared" si="26"/>
        <v/>
      </c>
      <c r="AU44" s="581" t="str">
        <f t="shared" si="27"/>
        <v/>
      </c>
      <c r="AV44" s="581" t="str">
        <f t="shared" si="28"/>
        <v/>
      </c>
      <c r="AW44" s="581" t="str">
        <f t="shared" si="29"/>
        <v/>
      </c>
      <c r="AX44" s="581" t="str">
        <f t="shared" si="30"/>
        <v/>
      </c>
      <c r="AY44" s="581" t="str">
        <f t="shared" si="31"/>
        <v/>
      </c>
      <c r="AZ44" s="581" t="str">
        <f t="shared" si="32"/>
        <v/>
      </c>
      <c r="BA44" s="581" t="str">
        <f>IF(AE44="","",AX44*'HVAC References'!$H$12)</f>
        <v/>
      </c>
      <c r="BB44" s="581" t="str">
        <f>IF(AE44="","",IF(J44=1,X44*((1/I44)*T44*AN44*(1/1000000))-(AY44*'HVAC References'!$H$12),0))</f>
        <v/>
      </c>
      <c r="BC44" s="581" t="str">
        <f t="shared" si="33"/>
        <v/>
      </c>
      <c r="BE44" s="581" t="str">
        <f>'Part Building ccASHP Worksheet'!Q26</f>
        <v/>
      </c>
      <c r="BF44" s="581">
        <f>IF(AE44="",0,IF('HVAC References'!$K$12="Yes",'HVAC References'!$H$221,'HVAC References'!$H$220))</f>
        <v>0</v>
      </c>
      <c r="BG44" s="581">
        <f t="shared" si="34"/>
        <v>0</v>
      </c>
      <c r="BH44" s="1264"/>
    </row>
    <row r="45" spans="1:60" x14ac:dyDescent="0.25">
      <c r="A45" s="429">
        <v>9</v>
      </c>
      <c r="B45" s="428" t="str">
        <f>IF(AE45="","",IF('Part Building ccASHP Worksheet'!$O$12="","",'Part Building ccASHP Worksheet'!$O$12))</f>
        <v/>
      </c>
      <c r="C45" s="428" t="str">
        <f>IF(M45="","",'Part Building ccASHP Worksheet'!S27)</f>
        <v/>
      </c>
      <c r="D45" s="428" t="str">
        <f>IF(M45="","",'Part Building ccASHP Worksheet'!T27)</f>
        <v/>
      </c>
      <c r="E45" s="433" t="str">
        <f>IF(M45="","",IF(OR(D45='HVAC References'!$B$220,D45='HVAC References'!$B$221),"NC",IF(AND(AND(LEFT(C45,5)&lt;&gt;"Split",LEFT(C45,6)&lt;&gt;"Single"),D45="Oil"),"OC","AO")))</f>
        <v/>
      </c>
      <c r="F45" s="428" t="str">
        <f>IF(M45="","",IF('Part Building ccASHP Worksheet'!V27="",INDEX('HVAC References'!$G$215:$K$217,MATCH($E45,'HVAC References'!$G$215:$G$217,0),3),'Part Building ccASHP Worksheet'!V27))</f>
        <v/>
      </c>
      <c r="G45" s="428" t="str">
        <f>IF(M45="","",IF('Part Building ccASHP Worksheet'!W27="",INDEX('HVAC References'!$G$215:$K$217,MATCH($E45,'HVAC References'!$G$215:$G$217,0),2),'Part Building ccASHP Worksheet'!W27))</f>
        <v/>
      </c>
      <c r="H45" s="428" t="str">
        <f>IF(M45="","",INDEX('HVAC References'!$G$215:$K$217,MATCH($E45,'HVAC References'!$G$215:$G$217,0),4))</f>
        <v/>
      </c>
      <c r="I45" s="428" t="str" cm="1">
        <f t="array" ref="I45">IF(M45="","",IF('Part Building ccASHP Worksheet'!Z27="",INDEX('HVAC References'!$B$215:$E$221,MATCH(D45,'HVAC References'!$B$215:$B$221,0),IF(E45='HVAC References'!$D$214,3,IF(E45='HVAC References'!$E$214,4,IF(E45='HVAC References'!$C$214,2)))),'Part Building ccASHP Worksheet'!Z27))</f>
        <v/>
      </c>
      <c r="J45" s="436">
        <f>IF(D45='HVAC References'!$F$4,0,1)</f>
        <v>1</v>
      </c>
      <c r="K45" s="436">
        <f>IF(D45='HVAC References'!$F$4,1,0)</f>
        <v>0</v>
      </c>
      <c r="M45" s="581" t="str">
        <f>IF('Part Building ccASHP Worksheet'!B27="","",'Part Building ccASHP Worksheet'!B27)</f>
        <v/>
      </c>
      <c r="N45" s="428" t="str">
        <f>IF(M45="","",'Part Building ccASHP Worksheet'!F27)</f>
        <v/>
      </c>
      <c r="O45" s="428" t="str">
        <f>IF(M45="","",'Part Building ccASHP Worksheet'!G27)</f>
        <v/>
      </c>
      <c r="P45" s="428" t="str">
        <f>IF(M45="","",'Part Building ccASHP Worksheet'!I27)</f>
        <v/>
      </c>
      <c r="Q45" s="428" t="str">
        <f>IF(M45="","",'Part Building ccASHP Worksheet'!H27)</f>
        <v/>
      </c>
      <c r="R45" s="428" t="str">
        <f>IF(M45="","",'Part Building ccASHP Worksheet'!J27)</f>
        <v/>
      </c>
      <c r="S45" s="428" t="str">
        <f>IF($M45="","",INDEX('HVAC References'!$T$230:$V$243,MATCH(B45,'HVAC References'!$T$230:$T$243,0),2))</f>
        <v/>
      </c>
      <c r="T45" s="428" t="str">
        <f>IF($M45="","",INDEX('HVAC References'!$T$230:$V$243,MATCH(B45,'HVAC References'!$T$230:$T$243,0),3))</f>
        <v/>
      </c>
      <c r="V45" s="581" t="str">
        <f t="shared" si="19"/>
        <v xml:space="preserve"> </v>
      </c>
      <c r="W45" s="581" t="str">
        <f>IF($M45="","",'Part Building ccASHP Worksheet'!L27)</f>
        <v/>
      </c>
      <c r="X45" s="581" t="str">
        <f>IF($M45="","",'Part Building ccASHP Worksheet'!M27)</f>
        <v/>
      </c>
      <c r="Y45" s="581" t="str">
        <f>IF($M45="","",'Part Building ccASHP Worksheet'!$B$14)</f>
        <v/>
      </c>
      <c r="Z45" s="581" t="str">
        <f>IF(M45="","",X45*'HVAC References'!$D$209)</f>
        <v/>
      </c>
      <c r="AA45" s="581" t="str">
        <f>IF(M45="","",X45*'HVAC References'!$D$210)</f>
        <v/>
      </c>
      <c r="AB45" s="581" t="str">
        <f t="shared" si="20"/>
        <v>Fail</v>
      </c>
      <c r="AC45" s="581" t="str">
        <f t="shared" si="21"/>
        <v>Fail</v>
      </c>
      <c r="AD45" s="581" t="str">
        <f t="shared" si="22"/>
        <v>Fail</v>
      </c>
      <c r="AE45" s="581" t="str">
        <f>IF(AD45="Fail","",INDEX('HVAC References'!$N$215:$R$223,MATCH(V45,'HVAC References'!$N$215:$N$223,0),2))</f>
        <v/>
      </c>
      <c r="AG45" s="581" t="str">
        <f>IF(AE45="","",INDEX('HVAC References'!$F$209:$H$211,MATCH(M45,'HVAC References'!$F$209:$F$211,0),3))</f>
        <v/>
      </c>
      <c r="AH45" s="581" t="str">
        <f>IF(AG45="","",'HVAC References'!$K$236)</f>
        <v/>
      </c>
      <c r="AI45" s="581" t="str">
        <f>IF($AG45="","",INDEX('HVAC References'!$L$230:$R$248,MATCH($AG45,'HVAC References'!$L$230:$L$248,0),2))</f>
        <v/>
      </c>
      <c r="AJ45" s="581" t="str">
        <f>IF($AG45="","",INDEX('HVAC References'!$L$230:$R$248,MATCH($AG45,'HVAC References'!$L$230:$L$248,0),3))</f>
        <v/>
      </c>
      <c r="AK45" s="581" t="str">
        <f>IF($AG45="","",INDEX('HVAC References'!$L$230:$R$248,MATCH($AG45,'HVAC References'!$L$230:$L$248,0),4))</f>
        <v/>
      </c>
      <c r="AL45" s="581" t="str">
        <f>IF($AG45="","",INDEX('HVAC References'!$L$230:$R$248,MATCH($AG45,'HVAC References'!$L$230:$L$248,0),5))</f>
        <v/>
      </c>
      <c r="AM45" s="581" t="str">
        <f>IF(OR(AG45="",E45&lt;&gt;"AO"),"",INDEX('HVAC References'!$G$215:$K$217,MATCH($E45,'HVAC References'!$G$215:$G$217,0),5))</f>
        <v/>
      </c>
      <c r="AN45" s="581" t="str">
        <f>IF($AG45="","",INDEX('HVAC References'!$L$230:$R$248,MATCH($AG45,'HVAC References'!$L$230:$L$248,0),6))</f>
        <v/>
      </c>
      <c r="AO45" s="581" t="str">
        <f>IF($AG45="","",INDEX('HVAC References'!$L$230:$R$248,MATCH($AG45,'HVAC References'!$L$230:$L$248,0),7))</f>
        <v/>
      </c>
      <c r="AP45" s="581" t="str">
        <f t="shared" si="23"/>
        <v/>
      </c>
      <c r="AQ45" s="581" t="str">
        <f t="shared" si="24"/>
        <v/>
      </c>
      <c r="AR45" s="581" t="str">
        <f t="shared" si="25"/>
        <v/>
      </c>
      <c r="AS45" s="581" t="str">
        <f t="shared" si="26"/>
        <v/>
      </c>
      <c r="AU45" s="581" t="str">
        <f t="shared" si="27"/>
        <v/>
      </c>
      <c r="AV45" s="581" t="str">
        <f t="shared" si="28"/>
        <v/>
      </c>
      <c r="AW45" s="581" t="str">
        <f t="shared" si="29"/>
        <v/>
      </c>
      <c r="AX45" s="581" t="str">
        <f t="shared" si="30"/>
        <v/>
      </c>
      <c r="AY45" s="581" t="str">
        <f t="shared" si="31"/>
        <v/>
      </c>
      <c r="AZ45" s="581" t="str">
        <f t="shared" si="32"/>
        <v/>
      </c>
      <c r="BA45" s="581" t="str">
        <f>IF(AE45="","",AX45*'HVAC References'!$H$12)</f>
        <v/>
      </c>
      <c r="BB45" s="581" t="str">
        <f>IF(AE45="","",IF(J45=1,X45*((1/I45)*T45*AN45*(1/1000000))-(AY45*'HVAC References'!$H$12),0))</f>
        <v/>
      </c>
      <c r="BC45" s="581" t="str">
        <f t="shared" si="33"/>
        <v/>
      </c>
      <c r="BE45" s="581" t="str">
        <f>'Part Building ccASHP Worksheet'!Q27</f>
        <v/>
      </c>
      <c r="BF45" s="581">
        <f>IF(AE45="",0,IF('HVAC References'!$K$12="Yes",'HVAC References'!$H$221,'HVAC References'!$H$220))</f>
        <v>0</v>
      </c>
      <c r="BG45" s="581">
        <f t="shared" si="34"/>
        <v>0</v>
      </c>
      <c r="BH45" s="1264"/>
    </row>
    <row r="46" spans="1:60" x14ac:dyDescent="0.25">
      <c r="A46" s="429">
        <v>10</v>
      </c>
      <c r="B46" s="428" t="str">
        <f>IF(AE46="","",IF('Part Building ccASHP Worksheet'!$O$12="","",'Part Building ccASHP Worksheet'!$O$12))</f>
        <v/>
      </c>
      <c r="C46" s="428" t="str">
        <f>IF(M46="","",'Part Building ccASHP Worksheet'!S28)</f>
        <v/>
      </c>
      <c r="D46" s="428" t="str">
        <f>IF(M46="","",'Part Building ccASHP Worksheet'!T28)</f>
        <v/>
      </c>
      <c r="E46" s="433" t="str">
        <f>IF(M46="","",IF(OR(D46='HVAC References'!$B$220,D46='HVAC References'!$B$221),"NC",IF(AND(AND(LEFT(C46,5)&lt;&gt;"Split",LEFT(C46,6)&lt;&gt;"Single"),D46="Oil"),"OC","AO")))</f>
        <v/>
      </c>
      <c r="F46" s="428" t="str">
        <f>IF(M46="","",IF('Part Building ccASHP Worksheet'!V28="",INDEX('HVAC References'!$G$215:$K$217,MATCH($E46,'HVAC References'!$G$215:$G$217,0),3),'Part Building ccASHP Worksheet'!V28))</f>
        <v/>
      </c>
      <c r="G46" s="428" t="str">
        <f>IF(M46="","",IF('Part Building ccASHP Worksheet'!W28="",INDEX('HVAC References'!$G$215:$K$217,MATCH($E46,'HVAC References'!$G$215:$G$217,0),2),'Part Building ccASHP Worksheet'!W28))</f>
        <v/>
      </c>
      <c r="H46" s="428" t="str">
        <f>IF(M46="","",INDEX('HVAC References'!$G$215:$K$217,MATCH($E46,'HVAC References'!$G$215:$G$217,0),4))</f>
        <v/>
      </c>
      <c r="I46" s="428" t="str" cm="1">
        <f t="array" ref="I46">IF(M46="","",IF('Part Building ccASHP Worksheet'!Z28="",INDEX('HVAC References'!$B$215:$E$221,MATCH(D46,'HVAC References'!$B$215:$B$221,0),IF(E46='HVAC References'!$D$214,3,IF(E46='HVAC References'!$E$214,4,IF(E46='HVAC References'!$C$214,2)))),'Part Building ccASHP Worksheet'!Z28))</f>
        <v/>
      </c>
      <c r="J46" s="436">
        <f>IF(D46='HVAC References'!$F$4,0,1)</f>
        <v>1</v>
      </c>
      <c r="K46" s="436">
        <f>IF(D46='HVAC References'!$F$4,1,0)</f>
        <v>0</v>
      </c>
      <c r="M46" s="581" t="str">
        <f>IF('Part Building ccASHP Worksheet'!B28="","",'Part Building ccASHP Worksheet'!B28)</f>
        <v/>
      </c>
      <c r="N46" s="428" t="str">
        <f>IF(M46="","",'Part Building ccASHP Worksheet'!F28)</f>
        <v/>
      </c>
      <c r="O46" s="428" t="str">
        <f>IF(M46="","",'Part Building ccASHP Worksheet'!G28)</f>
        <v/>
      </c>
      <c r="P46" s="428" t="str">
        <f>IF(M46="","",'Part Building ccASHP Worksheet'!I28)</f>
        <v/>
      </c>
      <c r="Q46" s="428" t="str">
        <f>IF(M46="","",'Part Building ccASHP Worksheet'!H28)</f>
        <v/>
      </c>
      <c r="R46" s="428" t="str">
        <f>IF(M46="","",'Part Building ccASHP Worksheet'!J28)</f>
        <v/>
      </c>
      <c r="S46" s="428" t="str">
        <f>IF($M46="","",INDEX('HVAC References'!$T$230:$V$243,MATCH(B46,'HVAC References'!$T$230:$T$243,0),2))</f>
        <v/>
      </c>
      <c r="T46" s="428" t="str">
        <f>IF($M46="","",INDEX('HVAC References'!$T$230:$V$243,MATCH(B46,'HVAC References'!$T$230:$T$243,0),3))</f>
        <v/>
      </c>
      <c r="V46" s="581" t="str">
        <f t="shared" si="19"/>
        <v xml:space="preserve"> </v>
      </c>
      <c r="W46" s="581" t="str">
        <f>IF($M46="","",'Part Building ccASHP Worksheet'!L28)</f>
        <v/>
      </c>
      <c r="X46" s="581" t="str">
        <f>IF($M46="","",'Part Building ccASHP Worksheet'!M28)</f>
        <v/>
      </c>
      <c r="Y46" s="581" t="str">
        <f>IF($M46="","",'Part Building ccASHP Worksheet'!$B$14)</f>
        <v/>
      </c>
      <c r="Z46" s="581" t="str">
        <f>IF(M46="","",X46*'HVAC References'!$D$209)</f>
        <v/>
      </c>
      <c r="AA46" s="581" t="str">
        <f>IF(M46="","",X46*'HVAC References'!$D$210)</f>
        <v/>
      </c>
      <c r="AB46" s="581" t="str">
        <f t="shared" si="20"/>
        <v>Fail</v>
      </c>
      <c r="AC46" s="581" t="str">
        <f t="shared" si="21"/>
        <v>Fail</v>
      </c>
      <c r="AD46" s="581" t="str">
        <f t="shared" si="22"/>
        <v>Fail</v>
      </c>
      <c r="AE46" s="581" t="str">
        <f>IF(AD46="Fail","",INDEX('HVAC References'!$N$215:$R$223,MATCH(V46,'HVAC References'!$N$215:$N$223,0),2))</f>
        <v/>
      </c>
      <c r="AG46" s="581" t="str">
        <f>IF(AE46="","",INDEX('HVAC References'!$F$209:$H$211,MATCH(M46,'HVAC References'!$F$209:$F$211,0),3))</f>
        <v/>
      </c>
      <c r="AH46" s="581" t="str">
        <f>IF(AG46="","",'HVAC References'!$K$236)</f>
        <v/>
      </c>
      <c r="AI46" s="581" t="str">
        <f>IF($AG46="","",INDEX('HVAC References'!$L$230:$R$248,MATCH($AG46,'HVAC References'!$L$230:$L$248,0),2))</f>
        <v/>
      </c>
      <c r="AJ46" s="581" t="str">
        <f>IF($AG46="","",INDEX('HVAC References'!$L$230:$R$248,MATCH($AG46,'HVAC References'!$L$230:$L$248,0),3))</f>
        <v/>
      </c>
      <c r="AK46" s="581" t="str">
        <f>IF($AG46="","",INDEX('HVAC References'!$L$230:$R$248,MATCH($AG46,'HVAC References'!$L$230:$L$248,0),4))</f>
        <v/>
      </c>
      <c r="AL46" s="581" t="str">
        <f>IF($AG46="","",INDEX('HVAC References'!$L$230:$R$248,MATCH($AG46,'HVAC References'!$L$230:$L$248,0),5))</f>
        <v/>
      </c>
      <c r="AM46" s="581" t="str">
        <f>IF(OR(AG46="",E46&lt;&gt;"AO"),"",INDEX('HVAC References'!$G$215:$K$217,MATCH($E46,'HVAC References'!$G$215:$G$217,0),5))</f>
        <v/>
      </c>
      <c r="AN46" s="581" t="str">
        <f>IF($AG46="","",INDEX('HVAC References'!$L$230:$R$248,MATCH($AG46,'HVAC References'!$L$230:$L$248,0),6))</f>
        <v/>
      </c>
      <c r="AO46" s="581" t="str">
        <f>IF($AG46="","",INDEX('HVAC References'!$L$230:$R$248,MATCH($AG46,'HVAC References'!$L$230:$L$248,0),7))</f>
        <v/>
      </c>
      <c r="AP46" s="581" t="str">
        <f t="shared" si="23"/>
        <v/>
      </c>
      <c r="AQ46" s="581" t="str">
        <f t="shared" si="24"/>
        <v/>
      </c>
      <c r="AR46" s="581" t="str">
        <f t="shared" si="25"/>
        <v/>
      </c>
      <c r="AS46" s="581" t="str">
        <f t="shared" si="26"/>
        <v/>
      </c>
      <c r="AU46" s="581" t="str">
        <f t="shared" si="27"/>
        <v/>
      </c>
      <c r="AV46" s="581" t="str">
        <f t="shared" si="28"/>
        <v/>
      </c>
      <c r="AW46" s="581" t="str">
        <f t="shared" si="29"/>
        <v/>
      </c>
      <c r="AX46" s="581" t="str">
        <f t="shared" si="30"/>
        <v/>
      </c>
      <c r="AY46" s="581" t="str">
        <f t="shared" si="31"/>
        <v/>
      </c>
      <c r="AZ46" s="581" t="str">
        <f t="shared" si="32"/>
        <v/>
      </c>
      <c r="BA46" s="581" t="str">
        <f>IF(AE46="","",AX46*'HVAC References'!$H$12)</f>
        <v/>
      </c>
      <c r="BB46" s="581" t="str">
        <f>IF(AE46="","",IF(J46=1,X46*((1/I46)*T46*AN46*(1/1000000))-(AY46*'HVAC References'!$H$12),0))</f>
        <v/>
      </c>
      <c r="BC46" s="581" t="str">
        <f t="shared" si="33"/>
        <v/>
      </c>
      <c r="BE46" s="581" t="str">
        <f>'Part Building ccASHP Worksheet'!Q28</f>
        <v/>
      </c>
      <c r="BF46" s="581">
        <f>IF(AE46="",0,IF('HVAC References'!$K$12="Yes",'HVAC References'!$H$221,'HVAC References'!$H$220))</f>
        <v>0</v>
      </c>
      <c r="BG46" s="581">
        <f t="shared" si="34"/>
        <v>0</v>
      </c>
      <c r="BH46" s="1264"/>
    </row>
    <row r="47" spans="1:60" x14ac:dyDescent="0.25">
      <c r="A47" s="429">
        <v>11</v>
      </c>
      <c r="B47" s="428" t="str">
        <f>IF(AE47="","",IF('Part Building ccASHP Worksheet'!$O$12="","",'Part Building ccASHP Worksheet'!$O$12))</f>
        <v/>
      </c>
      <c r="C47" s="428" t="str">
        <f>IF(M47="","",'Part Building ccASHP Worksheet'!S29)</f>
        <v/>
      </c>
      <c r="D47" s="428" t="str">
        <f>IF(M47="","",'Part Building ccASHP Worksheet'!T29)</f>
        <v/>
      </c>
      <c r="E47" s="433" t="str">
        <f>IF(M47="","",IF(OR(D47='HVAC References'!$B$220,D47='HVAC References'!$B$221),"NC",IF(AND(AND(LEFT(C47,5)&lt;&gt;"Split",LEFT(C47,6)&lt;&gt;"Single"),D47="Oil"),"OC","AO")))</f>
        <v/>
      </c>
      <c r="F47" s="428" t="str">
        <f>IF(M47="","",IF('Part Building ccASHP Worksheet'!V29="",INDEX('HVAC References'!$G$215:$K$217,MATCH($E47,'HVAC References'!$G$215:$G$217,0),3),'Part Building ccASHP Worksheet'!V29))</f>
        <v/>
      </c>
      <c r="G47" s="428" t="str">
        <f>IF(M47="","",IF('Part Building ccASHP Worksheet'!W29="",INDEX('HVAC References'!$G$215:$K$217,MATCH($E47,'HVAC References'!$G$215:$G$217,0),2),'Part Building ccASHP Worksheet'!W29))</f>
        <v/>
      </c>
      <c r="H47" s="428" t="str">
        <f>IF(M47="","",INDEX('HVAC References'!$G$215:$K$217,MATCH($E47,'HVAC References'!$G$215:$G$217,0),4))</f>
        <v/>
      </c>
      <c r="I47" s="428" t="str" cm="1">
        <f t="array" ref="I47">IF(M47="","",IF('Part Building ccASHP Worksheet'!Z29="",INDEX('HVAC References'!$B$215:$E$221,MATCH(D47,'HVAC References'!$B$215:$B$221,0),IF(E47='HVAC References'!$D$214,3,IF(E47='HVAC References'!$E$214,4,IF(E47='HVAC References'!$C$214,2)))),'Part Building ccASHP Worksheet'!Z29))</f>
        <v/>
      </c>
      <c r="J47" s="436">
        <f>IF(D47='HVAC References'!$F$4,0,1)</f>
        <v>1</v>
      </c>
      <c r="K47" s="436">
        <f>IF(D47='HVAC References'!$F$4,1,0)</f>
        <v>0</v>
      </c>
      <c r="M47" s="581" t="str">
        <f>IF('Part Building ccASHP Worksheet'!B29="","",'Part Building ccASHP Worksheet'!B29)</f>
        <v/>
      </c>
      <c r="N47" s="428" t="str">
        <f>IF(M47="","",'Part Building ccASHP Worksheet'!F29)</f>
        <v/>
      </c>
      <c r="O47" s="428" t="str">
        <f>IF(M47="","",'Part Building ccASHP Worksheet'!G29)</f>
        <v/>
      </c>
      <c r="P47" s="428" t="str">
        <f>IF(M47="","",'Part Building ccASHP Worksheet'!I29)</f>
        <v/>
      </c>
      <c r="Q47" s="428" t="str">
        <f>IF(M47="","",'Part Building ccASHP Worksheet'!H29)</f>
        <v/>
      </c>
      <c r="R47" s="428" t="str">
        <f>IF(M47="","",'Part Building ccASHP Worksheet'!J29)</f>
        <v/>
      </c>
      <c r="S47" s="428" t="str">
        <f>IF($M47="","",INDEX('HVAC References'!$T$230:$V$243,MATCH(B47,'HVAC References'!$T$230:$T$243,0),2))</f>
        <v/>
      </c>
      <c r="T47" s="428" t="str">
        <f>IF($M47="","",INDEX('HVAC References'!$T$230:$V$243,MATCH(B47,'HVAC References'!$T$230:$T$243,0),3))</f>
        <v/>
      </c>
      <c r="V47" s="581" t="str">
        <f t="shared" si="19"/>
        <v xml:space="preserve"> </v>
      </c>
      <c r="W47" s="581" t="str">
        <f>IF($M47="","",'Part Building ccASHP Worksheet'!L29)</f>
        <v/>
      </c>
      <c r="X47" s="581" t="str">
        <f>IF($M47="","",'Part Building ccASHP Worksheet'!M29)</f>
        <v/>
      </c>
      <c r="Y47" s="581" t="str">
        <f>IF($M47="","",'Part Building ccASHP Worksheet'!$B$14)</f>
        <v/>
      </c>
      <c r="Z47" s="581" t="str">
        <f>IF(M47="","",X47*'HVAC References'!$D$209)</f>
        <v/>
      </c>
      <c r="AA47" s="581" t="str">
        <f>IF(M47="","",X47*'HVAC References'!$D$210)</f>
        <v/>
      </c>
      <c r="AB47" s="581" t="str">
        <f t="shared" si="20"/>
        <v>Fail</v>
      </c>
      <c r="AC47" s="581" t="str">
        <f t="shared" si="21"/>
        <v>Fail</v>
      </c>
      <c r="AD47" s="581" t="str">
        <f t="shared" si="22"/>
        <v>Fail</v>
      </c>
      <c r="AE47" s="581" t="str">
        <f>IF(AD47="Fail","",INDEX('HVAC References'!$N$215:$R$223,MATCH(V47,'HVAC References'!$N$215:$N$223,0),2))</f>
        <v/>
      </c>
      <c r="AG47" s="581" t="str">
        <f>IF(AE47="","",INDEX('HVAC References'!$F$209:$H$211,MATCH(M47,'HVAC References'!$F$209:$F$211,0),3))</f>
        <v/>
      </c>
      <c r="AH47" s="581" t="str">
        <f>IF(AG47="","",'HVAC References'!$K$236)</f>
        <v/>
      </c>
      <c r="AI47" s="581" t="str">
        <f>IF($AG47="","",INDEX('HVAC References'!$L$230:$R$248,MATCH($AG47,'HVAC References'!$L$230:$L$248,0),2))</f>
        <v/>
      </c>
      <c r="AJ47" s="581" t="str">
        <f>IF($AG47="","",INDEX('HVAC References'!$L$230:$R$248,MATCH($AG47,'HVAC References'!$L$230:$L$248,0),3))</f>
        <v/>
      </c>
      <c r="AK47" s="581" t="str">
        <f>IF($AG47="","",INDEX('HVAC References'!$L$230:$R$248,MATCH($AG47,'HVAC References'!$L$230:$L$248,0),4))</f>
        <v/>
      </c>
      <c r="AL47" s="581" t="str">
        <f>IF($AG47="","",INDEX('HVAC References'!$L$230:$R$248,MATCH($AG47,'HVAC References'!$L$230:$L$248,0),5))</f>
        <v/>
      </c>
      <c r="AM47" s="581" t="str">
        <f>IF(OR(AG47="",E47&lt;&gt;"AO"),"",INDEX('HVAC References'!$G$215:$K$217,MATCH($E47,'HVAC References'!$G$215:$G$217,0),5))</f>
        <v/>
      </c>
      <c r="AN47" s="581" t="str">
        <f>IF($AG47="","",INDEX('HVAC References'!$L$230:$R$248,MATCH($AG47,'HVAC References'!$L$230:$L$248,0),6))</f>
        <v/>
      </c>
      <c r="AO47" s="581" t="str">
        <f>IF($AG47="","",INDEX('HVAC References'!$L$230:$R$248,MATCH($AG47,'HVAC References'!$L$230:$L$248,0),7))</f>
        <v/>
      </c>
      <c r="AP47" s="581" t="str">
        <f t="shared" si="23"/>
        <v/>
      </c>
      <c r="AQ47" s="581" t="str">
        <f t="shared" si="24"/>
        <v/>
      </c>
      <c r="AR47" s="581" t="str">
        <f t="shared" si="25"/>
        <v/>
      </c>
      <c r="AS47" s="581" t="str">
        <f t="shared" si="26"/>
        <v/>
      </c>
      <c r="AU47" s="581" t="str">
        <f t="shared" si="27"/>
        <v/>
      </c>
      <c r="AV47" s="581" t="str">
        <f t="shared" si="28"/>
        <v/>
      </c>
      <c r="AW47" s="581" t="str">
        <f t="shared" si="29"/>
        <v/>
      </c>
      <c r="AX47" s="581" t="str">
        <f t="shared" si="30"/>
        <v/>
      </c>
      <c r="AY47" s="581" t="str">
        <f t="shared" si="31"/>
        <v/>
      </c>
      <c r="AZ47" s="581" t="str">
        <f t="shared" si="32"/>
        <v/>
      </c>
      <c r="BA47" s="581" t="str">
        <f>IF(AE47="","",AX47*'HVAC References'!$H$12)</f>
        <v/>
      </c>
      <c r="BB47" s="581" t="str">
        <f>IF(AE47="","",IF(J47=1,X47*((1/I47)*T47*AN47*(1/1000000))-(AY47*'HVAC References'!$H$12),0))</f>
        <v/>
      </c>
      <c r="BC47" s="581" t="str">
        <f t="shared" si="33"/>
        <v/>
      </c>
      <c r="BE47" s="581" t="str">
        <f>'Part Building ccASHP Worksheet'!Q29</f>
        <v/>
      </c>
      <c r="BF47" s="581">
        <f>IF(AE47="",0,IF('HVAC References'!$K$12="Yes",'HVAC References'!$H$221,'HVAC References'!$H$220))</f>
        <v>0</v>
      </c>
      <c r="BG47" s="581">
        <f t="shared" si="34"/>
        <v>0</v>
      </c>
      <c r="BH47" s="1264"/>
    </row>
    <row r="48" spans="1:60" x14ac:dyDescent="0.25">
      <c r="A48" s="429">
        <v>12</v>
      </c>
      <c r="B48" s="428" t="str">
        <f>IF(AE48="","",IF('Part Building ccASHP Worksheet'!$O$12="","",'Part Building ccASHP Worksheet'!$O$12))</f>
        <v/>
      </c>
      <c r="C48" s="428" t="str">
        <f>IF(M48="","",'Part Building ccASHP Worksheet'!S30)</f>
        <v/>
      </c>
      <c r="D48" s="428" t="str">
        <f>IF(M48="","",'Part Building ccASHP Worksheet'!T30)</f>
        <v/>
      </c>
      <c r="E48" s="433" t="str">
        <f>IF(M48="","",IF(OR(D48='HVAC References'!$B$220,D48='HVAC References'!$B$221),"NC",IF(AND(AND(LEFT(C48,5)&lt;&gt;"Split",LEFT(C48,6)&lt;&gt;"Single"),D48="Oil"),"OC","AO")))</f>
        <v/>
      </c>
      <c r="F48" s="428" t="str">
        <f>IF(M48="","",IF('Part Building ccASHP Worksheet'!V30="",INDEX('HVAC References'!$G$215:$K$217,MATCH($E48,'HVAC References'!$G$215:$G$217,0),3),'Part Building ccASHP Worksheet'!V30))</f>
        <v/>
      </c>
      <c r="G48" s="428" t="str">
        <f>IF(M48="","",IF('Part Building ccASHP Worksheet'!W30="",INDEX('HVAC References'!$G$215:$K$217,MATCH($E48,'HVAC References'!$G$215:$G$217,0),2),'Part Building ccASHP Worksheet'!W30))</f>
        <v/>
      </c>
      <c r="H48" s="428" t="str">
        <f>IF(M48="","",INDEX('HVAC References'!$G$215:$K$217,MATCH($E48,'HVAC References'!$G$215:$G$217,0),4))</f>
        <v/>
      </c>
      <c r="I48" s="428" t="str" cm="1">
        <f t="array" ref="I48">IF(M48="","",IF('Part Building ccASHP Worksheet'!Z30="",INDEX('HVAC References'!$B$215:$E$221,MATCH(D48,'HVAC References'!$B$215:$B$221,0),IF(E48='HVAC References'!$D$214,3,IF(E48='HVAC References'!$E$214,4,IF(E48='HVAC References'!$C$214,2)))),'Part Building ccASHP Worksheet'!Z30))</f>
        <v/>
      </c>
      <c r="J48" s="436">
        <f>IF(D48='HVAC References'!$F$4,0,1)</f>
        <v>1</v>
      </c>
      <c r="K48" s="436">
        <f>IF(D48='HVAC References'!$F$4,1,0)</f>
        <v>0</v>
      </c>
      <c r="M48" s="581" t="str">
        <f>IF('Part Building ccASHP Worksheet'!B30="","",'Part Building ccASHP Worksheet'!B30)</f>
        <v/>
      </c>
      <c r="N48" s="428" t="str">
        <f>IF(M48="","",'Part Building ccASHP Worksheet'!F30)</f>
        <v/>
      </c>
      <c r="O48" s="428" t="str">
        <f>IF(M48="","",'Part Building ccASHP Worksheet'!G30)</f>
        <v/>
      </c>
      <c r="P48" s="428" t="str">
        <f>IF(M48="","",'Part Building ccASHP Worksheet'!I30)</f>
        <v/>
      </c>
      <c r="Q48" s="428" t="str">
        <f>IF(M48="","",'Part Building ccASHP Worksheet'!H30)</f>
        <v/>
      </c>
      <c r="R48" s="428" t="str">
        <f>IF(M48="","",'Part Building ccASHP Worksheet'!J30)</f>
        <v/>
      </c>
      <c r="S48" s="428" t="str">
        <f>IF($M48="","",INDEX('HVAC References'!$T$230:$V$243,MATCH(B48,'HVAC References'!$T$230:$T$243,0),2))</f>
        <v/>
      </c>
      <c r="T48" s="428" t="str">
        <f>IF($M48="","",INDEX('HVAC References'!$T$230:$V$243,MATCH(B48,'HVAC References'!$T$230:$T$243,0),3))</f>
        <v/>
      </c>
      <c r="V48" s="581" t="str">
        <f t="shared" si="19"/>
        <v xml:space="preserve"> </v>
      </c>
      <c r="W48" s="581" t="str">
        <f>IF($M48="","",'Part Building ccASHP Worksheet'!L30)</f>
        <v/>
      </c>
      <c r="X48" s="581" t="str">
        <f>IF($M48="","",'Part Building ccASHP Worksheet'!M30)</f>
        <v/>
      </c>
      <c r="Y48" s="581" t="str">
        <f>IF($M48="","",'Part Building ccASHP Worksheet'!$B$14)</f>
        <v/>
      </c>
      <c r="Z48" s="581" t="str">
        <f>IF(M48="","",X48*'HVAC References'!$D$209)</f>
        <v/>
      </c>
      <c r="AA48" s="581" t="str">
        <f>IF(M48="","",X48*'HVAC References'!$D$210)</f>
        <v/>
      </c>
      <c r="AB48" s="581" t="str">
        <f t="shared" si="20"/>
        <v>Fail</v>
      </c>
      <c r="AC48" s="581" t="str">
        <f t="shared" si="21"/>
        <v>Fail</v>
      </c>
      <c r="AD48" s="581" t="str">
        <f t="shared" si="22"/>
        <v>Fail</v>
      </c>
      <c r="AE48" s="581" t="str">
        <f>IF(AD48="Fail","",INDEX('HVAC References'!$N$215:$R$223,MATCH(V48,'HVAC References'!$N$215:$N$223,0),2))</f>
        <v/>
      </c>
      <c r="AG48" s="581" t="str">
        <f>IF(AE48="","",INDEX('HVAC References'!$F$209:$H$211,MATCH(M48,'HVAC References'!$F$209:$F$211,0),3))</f>
        <v/>
      </c>
      <c r="AH48" s="581" t="str">
        <f>IF(AG48="","",'HVAC References'!$K$236)</f>
        <v/>
      </c>
      <c r="AI48" s="581" t="str">
        <f>IF($AG48="","",INDEX('HVAC References'!$L$230:$R$248,MATCH($AG48,'HVAC References'!$L$230:$L$248,0),2))</f>
        <v/>
      </c>
      <c r="AJ48" s="581" t="str">
        <f>IF($AG48="","",INDEX('HVAC References'!$L$230:$R$248,MATCH($AG48,'HVAC References'!$L$230:$L$248,0),3))</f>
        <v/>
      </c>
      <c r="AK48" s="581" t="str">
        <f>IF($AG48="","",INDEX('HVAC References'!$L$230:$R$248,MATCH($AG48,'HVAC References'!$L$230:$L$248,0),4))</f>
        <v/>
      </c>
      <c r="AL48" s="581" t="str">
        <f>IF($AG48="","",INDEX('HVAC References'!$L$230:$R$248,MATCH($AG48,'HVAC References'!$L$230:$L$248,0),5))</f>
        <v/>
      </c>
      <c r="AM48" s="581" t="str">
        <f>IF(OR(AG48="",E48&lt;&gt;"AO"),"",INDEX('HVAC References'!$G$215:$K$217,MATCH($E48,'HVAC References'!$G$215:$G$217,0),5))</f>
        <v/>
      </c>
      <c r="AN48" s="581" t="str">
        <f>IF($AG48="","",INDEX('HVAC References'!$L$230:$R$248,MATCH($AG48,'HVAC References'!$L$230:$L$248,0),6))</f>
        <v/>
      </c>
      <c r="AO48" s="581" t="str">
        <f>IF($AG48="","",INDEX('HVAC References'!$L$230:$R$248,MATCH($AG48,'HVAC References'!$L$230:$L$248,0),7))</f>
        <v/>
      </c>
      <c r="AP48" s="581" t="str">
        <f t="shared" si="23"/>
        <v/>
      </c>
      <c r="AQ48" s="581" t="str">
        <f t="shared" si="24"/>
        <v/>
      </c>
      <c r="AR48" s="581" t="str">
        <f t="shared" si="25"/>
        <v/>
      </c>
      <c r="AS48" s="581" t="str">
        <f t="shared" si="26"/>
        <v/>
      </c>
      <c r="AU48" s="581" t="str">
        <f t="shared" si="27"/>
        <v/>
      </c>
      <c r="AV48" s="581" t="str">
        <f t="shared" si="28"/>
        <v/>
      </c>
      <c r="AW48" s="581" t="str">
        <f t="shared" si="29"/>
        <v/>
      </c>
      <c r="AX48" s="581" t="str">
        <f t="shared" si="30"/>
        <v/>
      </c>
      <c r="AY48" s="581" t="str">
        <f t="shared" si="31"/>
        <v/>
      </c>
      <c r="AZ48" s="581" t="str">
        <f t="shared" si="32"/>
        <v/>
      </c>
      <c r="BA48" s="581" t="str">
        <f>IF(AE48="","",AX48*'HVAC References'!$H$12)</f>
        <v/>
      </c>
      <c r="BB48" s="581" t="str">
        <f>IF(AE48="","",IF(J48=1,X48*((1/I48)*T48*AN48*(1/1000000))-(AY48*'HVAC References'!$H$12),0))</f>
        <v/>
      </c>
      <c r="BC48" s="581" t="str">
        <f t="shared" si="33"/>
        <v/>
      </c>
      <c r="BE48" s="581" t="str">
        <f>'Part Building ccASHP Worksheet'!Q30</f>
        <v/>
      </c>
      <c r="BF48" s="581">
        <f>IF(AE48="",0,IF('HVAC References'!$K$12="Yes",'HVAC References'!$H$221,'HVAC References'!$H$220))</f>
        <v>0</v>
      </c>
      <c r="BG48" s="581">
        <f t="shared" si="34"/>
        <v>0</v>
      </c>
      <c r="BH48" s="1264"/>
    </row>
    <row r="49" spans="1:60" x14ac:dyDescent="0.25">
      <c r="A49" s="429">
        <v>13</v>
      </c>
      <c r="B49" s="428" t="str">
        <f>IF(AE49="","",IF('Part Building ccASHP Worksheet'!$O$12="","",'Part Building ccASHP Worksheet'!$O$12))</f>
        <v/>
      </c>
      <c r="C49" s="428" t="str">
        <f>IF(M49="","",'Part Building ccASHP Worksheet'!S31)</f>
        <v/>
      </c>
      <c r="D49" s="428" t="str">
        <f>IF(M49="","",'Part Building ccASHP Worksheet'!T31)</f>
        <v/>
      </c>
      <c r="E49" s="433" t="str">
        <f>IF(M49="","",IF(OR(D49='HVAC References'!$B$220,D49='HVAC References'!$B$221),"NC",IF(AND(AND(LEFT(C49,5)&lt;&gt;"Split",LEFT(C49,6)&lt;&gt;"Single"),D49="Oil"),"OC","AO")))</f>
        <v/>
      </c>
      <c r="F49" s="428" t="str">
        <f>IF(M49="","",IF('Part Building ccASHP Worksheet'!V31="",INDEX('HVAC References'!$G$215:$K$217,MATCH($E49,'HVAC References'!$G$215:$G$217,0),3),'Part Building ccASHP Worksheet'!V31))</f>
        <v/>
      </c>
      <c r="G49" s="428" t="str">
        <f>IF(M49="","",IF('Part Building ccASHP Worksheet'!W31="",INDEX('HVAC References'!$G$215:$K$217,MATCH($E49,'HVAC References'!$G$215:$G$217,0),2),'Part Building ccASHP Worksheet'!W31))</f>
        <v/>
      </c>
      <c r="H49" s="428" t="str">
        <f>IF(M49="","",INDEX('HVAC References'!$G$215:$K$217,MATCH($E49,'HVAC References'!$G$215:$G$217,0),4))</f>
        <v/>
      </c>
      <c r="I49" s="428" t="str" cm="1">
        <f t="array" ref="I49">IF(M49="","",IF('Part Building ccASHP Worksheet'!Z31="",INDEX('HVAC References'!$B$215:$E$221,MATCH(D49,'HVAC References'!$B$215:$B$221,0),IF(E49='HVAC References'!$D$214,3,IF(E49='HVAC References'!$E$214,4,IF(E49='HVAC References'!$C$214,2)))),'Part Building ccASHP Worksheet'!Z31))</f>
        <v/>
      </c>
      <c r="J49" s="436">
        <f>IF(D49='HVAC References'!$F$4,0,1)</f>
        <v>1</v>
      </c>
      <c r="K49" s="436">
        <f>IF(D49='HVAC References'!$F$4,1,0)</f>
        <v>0</v>
      </c>
      <c r="M49" s="581" t="str">
        <f>IF('Part Building ccASHP Worksheet'!B31="","",'Part Building ccASHP Worksheet'!B31)</f>
        <v/>
      </c>
      <c r="N49" s="428" t="str">
        <f>IF(M49="","",'Part Building ccASHP Worksheet'!F31)</f>
        <v/>
      </c>
      <c r="O49" s="428" t="str">
        <f>IF(M49="","",'Part Building ccASHP Worksheet'!G31)</f>
        <v/>
      </c>
      <c r="P49" s="428" t="str">
        <f>IF(M49="","",'Part Building ccASHP Worksheet'!I31)</f>
        <v/>
      </c>
      <c r="Q49" s="428" t="str">
        <f>IF(M49="","",'Part Building ccASHP Worksheet'!H31)</f>
        <v/>
      </c>
      <c r="R49" s="428" t="str">
        <f>IF(M49="","",'Part Building ccASHP Worksheet'!J31)</f>
        <v/>
      </c>
      <c r="S49" s="428" t="str">
        <f>IF($M49="","",INDEX('HVAC References'!$T$230:$V$243,MATCH(B49,'HVAC References'!$T$230:$T$243,0),2))</f>
        <v/>
      </c>
      <c r="T49" s="428" t="str">
        <f>IF($M49="","",INDEX('HVAC References'!$T$230:$V$243,MATCH(B49,'HVAC References'!$T$230:$T$243,0),3))</f>
        <v/>
      </c>
      <c r="V49" s="581" t="str">
        <f t="shared" si="19"/>
        <v xml:space="preserve"> </v>
      </c>
      <c r="W49" s="581" t="str">
        <f>IF($M49="","",'Part Building ccASHP Worksheet'!L31)</f>
        <v/>
      </c>
      <c r="X49" s="581" t="str">
        <f>IF($M49="","",'Part Building ccASHP Worksheet'!M31)</f>
        <v/>
      </c>
      <c r="Y49" s="581" t="str">
        <f>IF($M49="","",'Part Building ccASHP Worksheet'!$B$14)</f>
        <v/>
      </c>
      <c r="Z49" s="581" t="str">
        <f>IF(M49="","",X49*'HVAC References'!$D$209)</f>
        <v/>
      </c>
      <c r="AA49" s="581" t="str">
        <f>IF(M49="","",X49*'HVAC References'!$D$210)</f>
        <v/>
      </c>
      <c r="AB49" s="581" t="str">
        <f t="shared" si="20"/>
        <v>Fail</v>
      </c>
      <c r="AC49" s="581" t="str">
        <f t="shared" si="21"/>
        <v>Fail</v>
      </c>
      <c r="AD49" s="581" t="str">
        <f t="shared" si="22"/>
        <v>Fail</v>
      </c>
      <c r="AE49" s="581" t="str">
        <f>IF(AD49="Fail","",INDEX('HVAC References'!$N$215:$R$223,MATCH(V49,'HVAC References'!$N$215:$N$223,0),2))</f>
        <v/>
      </c>
      <c r="AG49" s="581" t="str">
        <f>IF(AE49="","",INDEX('HVAC References'!$F$209:$H$211,MATCH(M49,'HVAC References'!$F$209:$F$211,0),3))</f>
        <v/>
      </c>
      <c r="AH49" s="581" t="str">
        <f>IF(AG49="","",'HVAC References'!$K$236)</f>
        <v/>
      </c>
      <c r="AI49" s="581" t="str">
        <f>IF($AG49="","",INDEX('HVAC References'!$L$230:$R$248,MATCH($AG49,'HVAC References'!$L$230:$L$248,0),2))</f>
        <v/>
      </c>
      <c r="AJ49" s="581" t="str">
        <f>IF($AG49="","",INDEX('HVAC References'!$L$230:$R$248,MATCH($AG49,'HVAC References'!$L$230:$L$248,0),3))</f>
        <v/>
      </c>
      <c r="AK49" s="581" t="str">
        <f>IF($AG49="","",INDEX('HVAC References'!$L$230:$R$248,MATCH($AG49,'HVAC References'!$L$230:$L$248,0),4))</f>
        <v/>
      </c>
      <c r="AL49" s="581" t="str">
        <f>IF($AG49="","",INDEX('HVAC References'!$L$230:$R$248,MATCH($AG49,'HVAC References'!$L$230:$L$248,0),5))</f>
        <v/>
      </c>
      <c r="AM49" s="581" t="str">
        <f>IF(OR(AG49="",E49&lt;&gt;"AO"),"",INDEX('HVAC References'!$G$215:$K$217,MATCH($E49,'HVAC References'!$G$215:$G$217,0),5))</f>
        <v/>
      </c>
      <c r="AN49" s="581" t="str">
        <f>IF($AG49="","",INDEX('HVAC References'!$L$230:$R$248,MATCH($AG49,'HVAC References'!$L$230:$L$248,0),6))</f>
        <v/>
      </c>
      <c r="AO49" s="581" t="str">
        <f>IF($AG49="","",INDEX('HVAC References'!$L$230:$R$248,MATCH($AG49,'HVAC References'!$L$230:$L$248,0),7))</f>
        <v/>
      </c>
      <c r="AP49" s="581" t="str">
        <f t="shared" si="23"/>
        <v/>
      </c>
      <c r="AQ49" s="581" t="str">
        <f t="shared" si="24"/>
        <v/>
      </c>
      <c r="AR49" s="581" t="str">
        <f t="shared" si="25"/>
        <v/>
      </c>
      <c r="AS49" s="581" t="str">
        <f t="shared" si="26"/>
        <v/>
      </c>
      <c r="AU49" s="581" t="str">
        <f t="shared" si="27"/>
        <v/>
      </c>
      <c r="AV49" s="581" t="str">
        <f t="shared" si="28"/>
        <v/>
      </c>
      <c r="AW49" s="581" t="str">
        <f t="shared" si="29"/>
        <v/>
      </c>
      <c r="AX49" s="581" t="str">
        <f t="shared" si="30"/>
        <v/>
      </c>
      <c r="AY49" s="581" t="str">
        <f t="shared" si="31"/>
        <v/>
      </c>
      <c r="AZ49" s="581" t="str">
        <f t="shared" si="32"/>
        <v/>
      </c>
      <c r="BA49" s="581" t="str">
        <f>IF(AE49="","",AX49*'HVAC References'!$H$12)</f>
        <v/>
      </c>
      <c r="BB49" s="581" t="str">
        <f>IF(AE49="","",IF(J49=1,X49*((1/I49)*T49*AN49*(1/1000000))-(AY49*'HVAC References'!$H$12),0))</f>
        <v/>
      </c>
      <c r="BC49" s="581" t="str">
        <f t="shared" si="33"/>
        <v/>
      </c>
      <c r="BE49" s="581" t="str">
        <f>'Part Building ccASHP Worksheet'!Q31</f>
        <v/>
      </c>
      <c r="BF49" s="581">
        <f>IF(AE49="",0,IF('HVAC References'!$K$12="Yes",'HVAC References'!$H$221,'HVAC References'!$H$220))</f>
        <v>0</v>
      </c>
      <c r="BG49" s="581">
        <f t="shared" si="34"/>
        <v>0</v>
      </c>
      <c r="BH49" s="1264"/>
    </row>
    <row r="50" spans="1:60" x14ac:dyDescent="0.25">
      <c r="A50" s="429">
        <v>14</v>
      </c>
      <c r="B50" s="428" t="str">
        <f>IF(AE50="","",IF('Part Building ccASHP Worksheet'!$O$12="","",'Part Building ccASHP Worksheet'!$O$12))</f>
        <v/>
      </c>
      <c r="C50" s="428" t="str">
        <f>IF(M50="","",'Part Building ccASHP Worksheet'!S32)</f>
        <v/>
      </c>
      <c r="D50" s="428" t="str">
        <f>IF(M50="","",'Part Building ccASHP Worksheet'!T32)</f>
        <v/>
      </c>
      <c r="E50" s="433" t="str">
        <f>IF(M50="","",IF(OR(D50='HVAC References'!$B$220,D50='HVAC References'!$B$221),"NC",IF(AND(AND(LEFT(C50,5)&lt;&gt;"Split",LEFT(C50,6)&lt;&gt;"Single"),D50="Oil"),"OC","AO")))</f>
        <v/>
      </c>
      <c r="F50" s="428" t="str">
        <f>IF(M50="","",IF('Part Building ccASHP Worksheet'!V32="",INDEX('HVAC References'!$G$215:$K$217,MATCH($E50,'HVAC References'!$G$215:$G$217,0),3),'Part Building ccASHP Worksheet'!V32))</f>
        <v/>
      </c>
      <c r="G50" s="428" t="str">
        <f>IF(M50="","",IF('Part Building ccASHP Worksheet'!W32="",INDEX('HVAC References'!$G$215:$K$217,MATCH($E50,'HVAC References'!$G$215:$G$217,0),2),'Part Building ccASHP Worksheet'!W32))</f>
        <v/>
      </c>
      <c r="H50" s="428" t="str">
        <f>IF(M50="","",INDEX('HVAC References'!$G$215:$K$217,MATCH($E50,'HVAC References'!$G$215:$G$217,0),4))</f>
        <v/>
      </c>
      <c r="I50" s="428" t="str" cm="1">
        <f t="array" ref="I50">IF(M50="","",IF('Part Building ccASHP Worksheet'!Z32="",INDEX('HVAC References'!$B$215:$E$221,MATCH(D50,'HVAC References'!$B$215:$B$221,0),IF(E50='HVAC References'!$D$214,3,IF(E50='HVAC References'!$E$214,4,IF(E50='HVAC References'!$C$214,2)))),'Part Building ccASHP Worksheet'!Z32))</f>
        <v/>
      </c>
      <c r="J50" s="436">
        <f>IF(D50='HVAC References'!$F$4,0,1)</f>
        <v>1</v>
      </c>
      <c r="K50" s="436">
        <f>IF(D50='HVAC References'!$F$4,1,0)</f>
        <v>0</v>
      </c>
      <c r="M50" s="581" t="str">
        <f>IF('Part Building ccASHP Worksheet'!B32="","",'Part Building ccASHP Worksheet'!B32)</f>
        <v/>
      </c>
      <c r="N50" s="428" t="str">
        <f>IF(M50="","",'Part Building ccASHP Worksheet'!F32)</f>
        <v/>
      </c>
      <c r="O50" s="428" t="str">
        <f>IF(M50="","",'Part Building ccASHP Worksheet'!G32)</f>
        <v/>
      </c>
      <c r="P50" s="428" t="str">
        <f>IF(M50="","",'Part Building ccASHP Worksheet'!I32)</f>
        <v/>
      </c>
      <c r="Q50" s="428" t="str">
        <f>IF(M50="","",'Part Building ccASHP Worksheet'!H32)</f>
        <v/>
      </c>
      <c r="R50" s="428" t="str">
        <f>IF(M50="","",'Part Building ccASHP Worksheet'!J32)</f>
        <v/>
      </c>
      <c r="S50" s="428" t="str">
        <f>IF($M50="","",INDEX('HVAC References'!$T$230:$V$243,MATCH(B50,'HVAC References'!$T$230:$T$243,0),2))</f>
        <v/>
      </c>
      <c r="T50" s="428" t="str">
        <f>IF($M50="","",INDEX('HVAC References'!$T$230:$V$243,MATCH(B50,'HVAC References'!$T$230:$T$243,0),3))</f>
        <v/>
      </c>
      <c r="V50" s="581" t="str">
        <f t="shared" si="19"/>
        <v xml:space="preserve"> </v>
      </c>
      <c r="W50" s="581" t="str">
        <f>IF($M50="","",'Part Building ccASHP Worksheet'!L32)</f>
        <v/>
      </c>
      <c r="X50" s="581" t="str">
        <f>IF($M50="","",'Part Building ccASHP Worksheet'!M32)</f>
        <v/>
      </c>
      <c r="Y50" s="581" t="str">
        <f>IF($M50="","",'Part Building ccASHP Worksheet'!$B$14)</f>
        <v/>
      </c>
      <c r="Z50" s="581" t="str">
        <f>IF(M50="","",X50*'HVAC References'!$D$209)</f>
        <v/>
      </c>
      <c r="AA50" s="581" t="str">
        <f>IF(M50="","",X50*'HVAC References'!$D$210)</f>
        <v/>
      </c>
      <c r="AB50" s="581" t="str">
        <f t="shared" si="20"/>
        <v>Fail</v>
      </c>
      <c r="AC50" s="581" t="str">
        <f t="shared" si="21"/>
        <v>Fail</v>
      </c>
      <c r="AD50" s="581" t="str">
        <f t="shared" si="22"/>
        <v>Fail</v>
      </c>
      <c r="AE50" s="581" t="str">
        <f>IF(AD50="Fail","",INDEX('HVAC References'!$N$215:$R$223,MATCH(V50,'HVAC References'!$N$215:$N$223,0),2))</f>
        <v/>
      </c>
      <c r="AG50" s="581" t="str">
        <f>IF(AE50="","",INDEX('HVAC References'!$F$209:$H$211,MATCH(M50,'HVAC References'!$F$209:$F$211,0),3))</f>
        <v/>
      </c>
      <c r="AH50" s="581" t="str">
        <f>IF(AG50="","",'HVAC References'!$K$236)</f>
        <v/>
      </c>
      <c r="AI50" s="581" t="str">
        <f>IF($AG50="","",INDEX('HVAC References'!$L$230:$R$248,MATCH($AG50,'HVAC References'!$L$230:$L$248,0),2))</f>
        <v/>
      </c>
      <c r="AJ50" s="581" t="str">
        <f>IF($AG50="","",INDEX('HVAC References'!$L$230:$R$248,MATCH($AG50,'HVAC References'!$L$230:$L$248,0),3))</f>
        <v/>
      </c>
      <c r="AK50" s="581" t="str">
        <f>IF($AG50="","",INDEX('HVAC References'!$L$230:$R$248,MATCH($AG50,'HVAC References'!$L$230:$L$248,0),4))</f>
        <v/>
      </c>
      <c r="AL50" s="581" t="str">
        <f>IF($AG50="","",INDEX('HVAC References'!$L$230:$R$248,MATCH($AG50,'HVAC References'!$L$230:$L$248,0),5))</f>
        <v/>
      </c>
      <c r="AM50" s="581" t="str">
        <f>IF(OR(AG50="",E50&lt;&gt;"AO"),"",INDEX('HVAC References'!$G$215:$K$217,MATCH($E50,'HVAC References'!$G$215:$G$217,0),5))</f>
        <v/>
      </c>
      <c r="AN50" s="581" t="str">
        <f>IF($AG50="","",INDEX('HVAC References'!$L$230:$R$248,MATCH($AG50,'HVAC References'!$L$230:$L$248,0),6))</f>
        <v/>
      </c>
      <c r="AO50" s="581" t="str">
        <f>IF($AG50="","",INDEX('HVAC References'!$L$230:$R$248,MATCH($AG50,'HVAC References'!$L$230:$L$248,0),7))</f>
        <v/>
      </c>
      <c r="AP50" s="581" t="str">
        <f t="shared" si="23"/>
        <v/>
      </c>
      <c r="AQ50" s="581" t="str">
        <f t="shared" si="24"/>
        <v/>
      </c>
      <c r="AR50" s="581" t="str">
        <f t="shared" si="25"/>
        <v/>
      </c>
      <c r="AS50" s="581" t="str">
        <f t="shared" si="26"/>
        <v/>
      </c>
      <c r="AU50" s="581" t="str">
        <f t="shared" si="27"/>
        <v/>
      </c>
      <c r="AV50" s="581" t="str">
        <f t="shared" si="28"/>
        <v/>
      </c>
      <c r="AW50" s="581" t="str">
        <f t="shared" si="29"/>
        <v/>
      </c>
      <c r="AX50" s="581" t="str">
        <f t="shared" si="30"/>
        <v/>
      </c>
      <c r="AY50" s="581" t="str">
        <f t="shared" si="31"/>
        <v/>
      </c>
      <c r="AZ50" s="581" t="str">
        <f t="shared" si="32"/>
        <v/>
      </c>
      <c r="BA50" s="581" t="str">
        <f>IF(AE50="","",AX50*'HVAC References'!$H$12)</f>
        <v/>
      </c>
      <c r="BB50" s="581" t="str">
        <f>IF(AE50="","",IF(J50=1,X50*((1/I50)*T50*AN50*(1/1000000))-(AY50*'HVAC References'!$H$12),0))</f>
        <v/>
      </c>
      <c r="BC50" s="581" t="str">
        <f t="shared" si="33"/>
        <v/>
      </c>
      <c r="BE50" s="581" t="str">
        <f>'Part Building ccASHP Worksheet'!Q32</f>
        <v/>
      </c>
      <c r="BF50" s="581">
        <f>IF(AE50="",0,IF('HVAC References'!$K$12="Yes",'HVAC References'!$H$221,'HVAC References'!$H$220))</f>
        <v>0</v>
      </c>
      <c r="BG50" s="581">
        <f t="shared" si="34"/>
        <v>0</v>
      </c>
      <c r="BH50" s="1264"/>
    </row>
    <row r="51" spans="1:60" x14ac:dyDescent="0.25">
      <c r="A51" s="429">
        <v>15</v>
      </c>
      <c r="B51" s="428" t="str">
        <f>IF(AE51="","",IF('Part Building ccASHP Worksheet'!$O$12="","",'Part Building ccASHP Worksheet'!$O$12))</f>
        <v/>
      </c>
      <c r="C51" s="428" t="str">
        <f>IF(M51="","",'Part Building ccASHP Worksheet'!S33)</f>
        <v/>
      </c>
      <c r="D51" s="428" t="str">
        <f>IF(M51="","",'Part Building ccASHP Worksheet'!T33)</f>
        <v/>
      </c>
      <c r="E51" s="433" t="str">
        <f>IF(M51="","",IF(OR(D51='HVAC References'!$B$220,D51='HVAC References'!$B$221),"NC",IF(AND(AND(LEFT(C51,5)&lt;&gt;"Split",LEFT(C51,6)&lt;&gt;"Single"),D51="Oil"),"OC","AO")))</f>
        <v/>
      </c>
      <c r="F51" s="428" t="str">
        <f>IF(M51="","",IF('Part Building ccASHP Worksheet'!V33="",INDEX('HVAC References'!$G$215:$K$217,MATCH($E51,'HVAC References'!$G$215:$G$217,0),3),'Part Building ccASHP Worksheet'!V33))</f>
        <v/>
      </c>
      <c r="G51" s="428" t="str">
        <f>IF(M51="","",IF('Part Building ccASHP Worksheet'!W33="",INDEX('HVAC References'!$G$215:$K$217,MATCH($E51,'HVAC References'!$G$215:$G$217,0),2),'Part Building ccASHP Worksheet'!W33))</f>
        <v/>
      </c>
      <c r="H51" s="428" t="str">
        <f>IF(M51="","",INDEX('HVAC References'!$G$215:$K$217,MATCH($E51,'HVAC References'!$G$215:$G$217,0),4))</f>
        <v/>
      </c>
      <c r="I51" s="428" t="str" cm="1">
        <f t="array" ref="I51">IF(M51="","",IF('Part Building ccASHP Worksheet'!Z33="",INDEX('HVAC References'!$B$215:$E$221,MATCH(D51,'HVAC References'!$B$215:$B$221,0),IF(E51='HVAC References'!$D$214,3,IF(E51='HVAC References'!$E$214,4,IF(E51='HVAC References'!$C$214,2)))),'Part Building ccASHP Worksheet'!Z33))</f>
        <v/>
      </c>
      <c r="J51" s="436">
        <f>IF(D51='HVAC References'!$F$4,0,1)</f>
        <v>1</v>
      </c>
      <c r="K51" s="436">
        <f>IF(D51='HVAC References'!$F$4,1,0)</f>
        <v>0</v>
      </c>
      <c r="M51" s="581" t="str">
        <f>IF('Part Building ccASHP Worksheet'!B33="","",'Part Building ccASHP Worksheet'!B33)</f>
        <v/>
      </c>
      <c r="N51" s="428" t="str">
        <f>IF(M51="","",'Part Building ccASHP Worksheet'!F33)</f>
        <v/>
      </c>
      <c r="O51" s="428" t="str">
        <f>IF(M51="","",'Part Building ccASHP Worksheet'!G33)</f>
        <v/>
      </c>
      <c r="P51" s="428" t="str">
        <f>IF(M51="","",'Part Building ccASHP Worksheet'!I33)</f>
        <v/>
      </c>
      <c r="Q51" s="428" t="str">
        <f>IF(M51="","",'Part Building ccASHP Worksheet'!H33)</f>
        <v/>
      </c>
      <c r="R51" s="428" t="str">
        <f>IF(M51="","",'Part Building ccASHP Worksheet'!J33)</f>
        <v/>
      </c>
      <c r="S51" s="428" t="str">
        <f>IF($M51="","",INDEX('HVAC References'!$T$230:$V$243,MATCH(B51,'HVAC References'!$T$230:$T$243,0),2))</f>
        <v/>
      </c>
      <c r="T51" s="428" t="str">
        <f>IF($M51="","",INDEX('HVAC References'!$T$230:$V$243,MATCH(B51,'HVAC References'!$T$230:$T$243,0),3))</f>
        <v/>
      </c>
      <c r="V51" s="581" t="str">
        <f t="shared" si="19"/>
        <v xml:space="preserve"> </v>
      </c>
      <c r="W51" s="581" t="str">
        <f>IF($M51="","",'Part Building ccASHP Worksheet'!L33)</f>
        <v/>
      </c>
      <c r="X51" s="581" t="str">
        <f>IF($M51="","",'Part Building ccASHP Worksheet'!M33)</f>
        <v/>
      </c>
      <c r="Y51" s="581" t="str">
        <f>IF($M51="","",'Part Building ccASHP Worksheet'!$B$14)</f>
        <v/>
      </c>
      <c r="Z51" s="581" t="str">
        <f>IF(M51="","",X51*'HVAC References'!$D$209)</f>
        <v/>
      </c>
      <c r="AA51" s="581" t="str">
        <f>IF(M51="","",X51*'HVAC References'!$D$210)</f>
        <v/>
      </c>
      <c r="AB51" s="581" t="str">
        <f t="shared" si="20"/>
        <v>Fail</v>
      </c>
      <c r="AC51" s="581" t="str">
        <f t="shared" si="21"/>
        <v>Fail</v>
      </c>
      <c r="AD51" s="581" t="str">
        <f t="shared" si="22"/>
        <v>Fail</v>
      </c>
      <c r="AE51" s="581" t="str">
        <f>IF(AD51="Fail","",INDEX('HVAC References'!$N$215:$R$223,MATCH(V51,'HVAC References'!$N$215:$N$223,0),2))</f>
        <v/>
      </c>
      <c r="AG51" s="581" t="str">
        <f>IF(AE51="","",INDEX('HVAC References'!$F$209:$H$211,MATCH(M51,'HVAC References'!$F$209:$F$211,0),3))</f>
        <v/>
      </c>
      <c r="AH51" s="581" t="str">
        <f>IF(AG51="","",'HVAC References'!$K$236)</f>
        <v/>
      </c>
      <c r="AI51" s="581" t="str">
        <f>IF($AG51="","",INDEX('HVAC References'!$L$230:$R$248,MATCH($AG51,'HVAC References'!$L$230:$L$248,0),2))</f>
        <v/>
      </c>
      <c r="AJ51" s="581" t="str">
        <f>IF($AG51="","",INDEX('HVAC References'!$L$230:$R$248,MATCH($AG51,'HVAC References'!$L$230:$L$248,0),3))</f>
        <v/>
      </c>
      <c r="AK51" s="581" t="str">
        <f>IF($AG51="","",INDEX('HVAC References'!$L$230:$R$248,MATCH($AG51,'HVAC References'!$L$230:$L$248,0),4))</f>
        <v/>
      </c>
      <c r="AL51" s="581" t="str">
        <f>IF($AG51="","",INDEX('HVAC References'!$L$230:$R$248,MATCH($AG51,'HVAC References'!$L$230:$L$248,0),5))</f>
        <v/>
      </c>
      <c r="AM51" s="581" t="str">
        <f>IF(OR(AG51="",E51&lt;&gt;"AO"),"",INDEX('HVAC References'!$G$215:$K$217,MATCH($E51,'HVAC References'!$G$215:$G$217,0),5))</f>
        <v/>
      </c>
      <c r="AN51" s="581" t="str">
        <f>IF($AG51="","",INDEX('HVAC References'!$L$230:$R$248,MATCH($AG51,'HVAC References'!$L$230:$L$248,0),6))</f>
        <v/>
      </c>
      <c r="AO51" s="581" t="str">
        <f>IF($AG51="","",INDEX('HVAC References'!$L$230:$R$248,MATCH($AG51,'HVAC References'!$L$230:$L$248,0),7))</f>
        <v/>
      </c>
      <c r="AP51" s="581" t="str">
        <f t="shared" si="23"/>
        <v/>
      </c>
      <c r="AQ51" s="581" t="str">
        <f t="shared" si="24"/>
        <v/>
      </c>
      <c r="AR51" s="581" t="str">
        <f t="shared" si="25"/>
        <v/>
      </c>
      <c r="AS51" s="581" t="str">
        <f t="shared" si="26"/>
        <v/>
      </c>
      <c r="AU51" s="581" t="str">
        <f t="shared" si="27"/>
        <v/>
      </c>
      <c r="AV51" s="581" t="str">
        <f t="shared" si="28"/>
        <v/>
      </c>
      <c r="AW51" s="581" t="str">
        <f t="shared" si="29"/>
        <v/>
      </c>
      <c r="AX51" s="581" t="str">
        <f t="shared" si="30"/>
        <v/>
      </c>
      <c r="AY51" s="581" t="str">
        <f t="shared" si="31"/>
        <v/>
      </c>
      <c r="AZ51" s="581" t="str">
        <f t="shared" si="32"/>
        <v/>
      </c>
      <c r="BA51" s="581" t="str">
        <f>IF(AE51="","",AX51*'HVAC References'!$H$12)</f>
        <v/>
      </c>
      <c r="BB51" s="581" t="str">
        <f>IF(AE51="","",IF(J51=1,X51*((1/I51)*T51*AN51*(1/1000000))-(AY51*'HVAC References'!$H$12),0))</f>
        <v/>
      </c>
      <c r="BC51" s="581" t="str">
        <f t="shared" si="33"/>
        <v/>
      </c>
      <c r="BE51" s="581" t="str">
        <f>'Part Building ccASHP Worksheet'!Q33</f>
        <v/>
      </c>
      <c r="BF51" s="581">
        <f>IF(AE51="",0,IF('HVAC References'!$K$12="Yes",'HVAC References'!$H$221,'HVAC References'!$H$220))</f>
        <v>0</v>
      </c>
      <c r="BG51" s="581">
        <f t="shared" si="34"/>
        <v>0</v>
      </c>
      <c r="BH51" s="1264"/>
    </row>
    <row r="52" spans="1:60" x14ac:dyDescent="0.25">
      <c r="A52" s="429">
        <v>16</v>
      </c>
      <c r="B52" s="428" t="str">
        <f>IF(AE52="","",IF('Part Building ccASHP Worksheet'!$O$12="","",'Part Building ccASHP Worksheet'!$O$12))</f>
        <v/>
      </c>
      <c r="C52" s="428" t="str">
        <f>IF(M52="","",'Part Building ccASHP Worksheet'!S34)</f>
        <v/>
      </c>
      <c r="D52" s="428" t="str">
        <f>IF(M52="","",'Part Building ccASHP Worksheet'!T34)</f>
        <v/>
      </c>
      <c r="E52" s="433" t="str">
        <f>IF(M52="","",IF(OR(D52='HVAC References'!$B$220,D52='HVAC References'!$B$221),"NC",IF(AND(AND(LEFT(C52,5)&lt;&gt;"Split",LEFT(C52,6)&lt;&gt;"Single"),D52="Oil"),"OC","AO")))</f>
        <v/>
      </c>
      <c r="F52" s="428" t="str">
        <f>IF(M52="","",IF('Part Building ccASHP Worksheet'!V34="",INDEX('HVAC References'!$G$215:$K$217,MATCH($E52,'HVAC References'!$G$215:$G$217,0),3),'Part Building ccASHP Worksheet'!V34))</f>
        <v/>
      </c>
      <c r="G52" s="428" t="str">
        <f>IF(M52="","",IF('Part Building ccASHP Worksheet'!W34="",INDEX('HVAC References'!$G$215:$K$217,MATCH($E52,'HVAC References'!$G$215:$G$217,0),2),'Part Building ccASHP Worksheet'!W34))</f>
        <v/>
      </c>
      <c r="H52" s="428" t="str">
        <f>IF(M52="","",INDEX('HVAC References'!$G$215:$K$217,MATCH($E52,'HVAC References'!$G$215:$G$217,0),4))</f>
        <v/>
      </c>
      <c r="I52" s="428" t="str" cm="1">
        <f t="array" ref="I52">IF(M52="","",IF('Part Building ccASHP Worksheet'!Z34="",INDEX('HVAC References'!$B$215:$E$221,MATCH(D52,'HVAC References'!$B$215:$B$221,0),IF(E52='HVAC References'!$D$214,3,IF(E52='HVAC References'!$E$214,4,IF(E52='HVAC References'!$C$214,2)))),'Part Building ccASHP Worksheet'!Z34))</f>
        <v/>
      </c>
      <c r="J52" s="436">
        <f>IF(D52='HVAC References'!$F$4,0,1)</f>
        <v>1</v>
      </c>
      <c r="K52" s="436">
        <f>IF(D52='HVAC References'!$F$4,1,0)</f>
        <v>0</v>
      </c>
      <c r="M52" s="581" t="str">
        <f>IF('Part Building ccASHP Worksheet'!B34="","",'Part Building ccASHP Worksheet'!B34)</f>
        <v/>
      </c>
      <c r="N52" s="428" t="str">
        <f>IF(M52="","",'Part Building ccASHP Worksheet'!F34)</f>
        <v/>
      </c>
      <c r="O52" s="428" t="str">
        <f>IF(M52="","",'Part Building ccASHP Worksheet'!G34)</f>
        <v/>
      </c>
      <c r="P52" s="428" t="str">
        <f>IF(M52="","",'Part Building ccASHP Worksheet'!I34)</f>
        <v/>
      </c>
      <c r="Q52" s="428" t="str">
        <f>IF(M52="","",'Part Building ccASHP Worksheet'!H34)</f>
        <v/>
      </c>
      <c r="R52" s="428" t="str">
        <f>IF(M52="","",'Part Building ccASHP Worksheet'!J34)</f>
        <v/>
      </c>
      <c r="S52" s="428" t="str">
        <f>IF($M52="","",INDEX('HVAC References'!$T$230:$V$243,MATCH(B52,'HVAC References'!$T$230:$T$243,0),2))</f>
        <v/>
      </c>
      <c r="T52" s="428" t="str">
        <f>IF($M52="","",INDEX('HVAC References'!$T$230:$V$243,MATCH(B52,'HVAC References'!$T$230:$T$243,0),3))</f>
        <v/>
      </c>
      <c r="V52" s="581" t="str">
        <f t="shared" si="19"/>
        <v xml:space="preserve"> </v>
      </c>
      <c r="W52" s="581" t="str">
        <f>IF($M52="","",'Part Building ccASHP Worksheet'!L34)</f>
        <v/>
      </c>
      <c r="X52" s="581" t="str">
        <f>IF($M52="","",'Part Building ccASHP Worksheet'!M34)</f>
        <v/>
      </c>
      <c r="Y52" s="581" t="str">
        <f>IF($M52="","",'Part Building ccASHP Worksheet'!$B$14)</f>
        <v/>
      </c>
      <c r="Z52" s="581" t="str">
        <f>IF(M52="","",X52*'HVAC References'!$D$209)</f>
        <v/>
      </c>
      <c r="AA52" s="581" t="str">
        <f>IF(M52="","",X52*'HVAC References'!$D$210)</f>
        <v/>
      </c>
      <c r="AB52" s="581" t="str">
        <f t="shared" si="20"/>
        <v>Fail</v>
      </c>
      <c r="AC52" s="581" t="str">
        <f t="shared" si="21"/>
        <v>Fail</v>
      </c>
      <c r="AD52" s="581" t="str">
        <f t="shared" si="22"/>
        <v>Fail</v>
      </c>
      <c r="AE52" s="581" t="str">
        <f>IF(AD52="Fail","",INDEX('HVAC References'!$N$215:$R$223,MATCH(V52,'HVAC References'!$N$215:$N$223,0),2))</f>
        <v/>
      </c>
      <c r="AG52" s="581" t="str">
        <f>IF(AE52="","",INDEX('HVAC References'!$F$209:$H$211,MATCH(M52,'HVAC References'!$F$209:$F$211,0),3))</f>
        <v/>
      </c>
      <c r="AH52" s="581" t="str">
        <f>IF(AG52="","",'HVAC References'!$K$236)</f>
        <v/>
      </c>
      <c r="AI52" s="581" t="str">
        <f>IF($AG52="","",INDEX('HVAC References'!$L$230:$R$248,MATCH($AG52,'HVAC References'!$L$230:$L$248,0),2))</f>
        <v/>
      </c>
      <c r="AJ52" s="581" t="str">
        <f>IF($AG52="","",INDEX('HVAC References'!$L$230:$R$248,MATCH($AG52,'HVAC References'!$L$230:$L$248,0),3))</f>
        <v/>
      </c>
      <c r="AK52" s="581" t="str">
        <f>IF($AG52="","",INDEX('HVAC References'!$L$230:$R$248,MATCH($AG52,'HVAC References'!$L$230:$L$248,0),4))</f>
        <v/>
      </c>
      <c r="AL52" s="581" t="str">
        <f>IF($AG52="","",INDEX('HVAC References'!$L$230:$R$248,MATCH($AG52,'HVAC References'!$L$230:$L$248,0),5))</f>
        <v/>
      </c>
      <c r="AM52" s="581" t="str">
        <f>IF(OR(AG52="",E52&lt;&gt;"AO"),"",INDEX('HVAC References'!$G$215:$K$217,MATCH($E52,'HVAC References'!$G$215:$G$217,0),5))</f>
        <v/>
      </c>
      <c r="AN52" s="581" t="str">
        <f>IF($AG52="","",INDEX('HVAC References'!$L$230:$R$248,MATCH($AG52,'HVAC References'!$L$230:$L$248,0),6))</f>
        <v/>
      </c>
      <c r="AO52" s="581" t="str">
        <f>IF($AG52="","",INDEX('HVAC References'!$L$230:$R$248,MATCH($AG52,'HVAC References'!$L$230:$L$248,0),7))</f>
        <v/>
      </c>
      <c r="AP52" s="581" t="str">
        <f t="shared" si="23"/>
        <v/>
      </c>
      <c r="AQ52" s="581" t="str">
        <f t="shared" si="24"/>
        <v/>
      </c>
      <c r="AR52" s="581" t="str">
        <f t="shared" si="25"/>
        <v/>
      </c>
      <c r="AS52" s="581" t="str">
        <f t="shared" si="26"/>
        <v/>
      </c>
      <c r="AU52" s="581" t="str">
        <f t="shared" si="27"/>
        <v/>
      </c>
      <c r="AV52" s="581" t="str">
        <f t="shared" si="28"/>
        <v/>
      </c>
      <c r="AW52" s="581" t="str">
        <f t="shared" si="29"/>
        <v/>
      </c>
      <c r="AX52" s="581" t="str">
        <f t="shared" si="30"/>
        <v/>
      </c>
      <c r="AY52" s="581" t="str">
        <f t="shared" si="31"/>
        <v/>
      </c>
      <c r="AZ52" s="581" t="str">
        <f t="shared" si="32"/>
        <v/>
      </c>
      <c r="BA52" s="581" t="str">
        <f>IF(AE52="","",AX52*'HVAC References'!$H$12)</f>
        <v/>
      </c>
      <c r="BB52" s="581" t="str">
        <f>IF(AE52="","",IF(J52=1,X52*((1/I52)*T52*AN52*(1/1000000))-(AY52*'HVAC References'!$H$12),0))</f>
        <v/>
      </c>
      <c r="BC52" s="581" t="str">
        <f t="shared" si="33"/>
        <v/>
      </c>
      <c r="BE52" s="581" t="str">
        <f>'Part Building ccASHP Worksheet'!Q34</f>
        <v/>
      </c>
      <c r="BF52" s="581">
        <f>IF(AE52="",0,IF('HVAC References'!$K$12="Yes",'HVAC References'!$H$221,'HVAC References'!$H$220))</f>
        <v>0</v>
      </c>
      <c r="BG52" s="581">
        <f t="shared" si="34"/>
        <v>0</v>
      </c>
      <c r="BH52" s="1264"/>
    </row>
    <row r="53" spans="1:60" x14ac:dyDescent="0.25">
      <c r="A53" s="429">
        <v>17</v>
      </c>
      <c r="B53" s="428" t="str">
        <f>IF(AE53="","",IF('Part Building ccASHP Worksheet'!$O$12="","",'Part Building ccASHP Worksheet'!$O$12))</f>
        <v/>
      </c>
      <c r="C53" s="428" t="str">
        <f>IF(M53="","",'Part Building ccASHP Worksheet'!S35)</f>
        <v/>
      </c>
      <c r="D53" s="428" t="str">
        <f>IF(M53="","",'Part Building ccASHP Worksheet'!T35)</f>
        <v/>
      </c>
      <c r="E53" s="433" t="str">
        <f>IF(M53="","",IF(OR(D53='HVAC References'!$B$220,D53='HVAC References'!$B$221),"NC",IF(AND(AND(LEFT(C53,5)&lt;&gt;"Split",LEFT(C53,6)&lt;&gt;"Single"),D53="Oil"),"OC","AO")))</f>
        <v/>
      </c>
      <c r="F53" s="428" t="str">
        <f>IF(M53="","",IF('Part Building ccASHP Worksheet'!V35="",INDEX('HVAC References'!$G$215:$K$217,MATCH($E53,'HVAC References'!$G$215:$G$217,0),3),'Part Building ccASHP Worksheet'!V35))</f>
        <v/>
      </c>
      <c r="G53" s="428" t="str">
        <f>IF(M53="","",IF('Part Building ccASHP Worksheet'!W35="",INDEX('HVAC References'!$G$215:$K$217,MATCH($E53,'HVAC References'!$G$215:$G$217,0),2),'Part Building ccASHP Worksheet'!W35))</f>
        <v/>
      </c>
      <c r="H53" s="428" t="str">
        <f>IF(M53="","",INDEX('HVAC References'!$G$215:$K$217,MATCH($E53,'HVAC References'!$G$215:$G$217,0),4))</f>
        <v/>
      </c>
      <c r="I53" s="428" t="str" cm="1">
        <f t="array" ref="I53">IF(M53="","",IF('Part Building ccASHP Worksheet'!Z35="",INDEX('HVAC References'!$B$215:$E$221,MATCH(D53,'HVAC References'!$B$215:$B$221,0),IF(E53='HVAC References'!$D$214,3,IF(E53='HVAC References'!$E$214,4,IF(E53='HVAC References'!$C$214,2)))),'Part Building ccASHP Worksheet'!Z35))</f>
        <v/>
      </c>
      <c r="J53" s="436">
        <f>IF(D53='HVAC References'!$F$4,0,1)</f>
        <v>1</v>
      </c>
      <c r="K53" s="436">
        <f>IF(D53='HVAC References'!$F$4,1,0)</f>
        <v>0</v>
      </c>
      <c r="M53" s="581" t="str">
        <f>IF('Part Building ccASHP Worksheet'!B35="","",'Part Building ccASHP Worksheet'!B35)</f>
        <v/>
      </c>
      <c r="N53" s="428" t="str">
        <f>IF(M53="","",'Part Building ccASHP Worksheet'!F35)</f>
        <v/>
      </c>
      <c r="O53" s="428" t="str">
        <f>IF(M53="","",'Part Building ccASHP Worksheet'!G35)</f>
        <v/>
      </c>
      <c r="P53" s="428" t="str">
        <f>IF(M53="","",'Part Building ccASHP Worksheet'!I35)</f>
        <v/>
      </c>
      <c r="Q53" s="428" t="str">
        <f>IF(M53="","",'Part Building ccASHP Worksheet'!H35)</f>
        <v/>
      </c>
      <c r="R53" s="428" t="str">
        <f>IF(M53="","",'Part Building ccASHP Worksheet'!J35)</f>
        <v/>
      </c>
      <c r="S53" s="428" t="str">
        <f>IF($M53="","",INDEX('HVAC References'!$T$230:$V$243,MATCH(B53,'HVAC References'!$T$230:$T$243,0),2))</f>
        <v/>
      </c>
      <c r="T53" s="428" t="str">
        <f>IF($M53="","",INDEX('HVAC References'!$T$230:$V$243,MATCH(B53,'HVAC References'!$T$230:$T$243,0),3))</f>
        <v/>
      </c>
      <c r="V53" s="581" t="str">
        <f t="shared" si="19"/>
        <v xml:space="preserve"> </v>
      </c>
      <c r="W53" s="581" t="str">
        <f>IF($M53="","",'Part Building ccASHP Worksheet'!L35)</f>
        <v/>
      </c>
      <c r="X53" s="581" t="str">
        <f>IF($M53="","",'Part Building ccASHP Worksheet'!M35)</f>
        <v/>
      </c>
      <c r="Y53" s="581" t="str">
        <f>IF($M53="","",'Part Building ccASHP Worksheet'!$B$14)</f>
        <v/>
      </c>
      <c r="Z53" s="581" t="str">
        <f>IF(M53="","",X53*'HVAC References'!$D$209)</f>
        <v/>
      </c>
      <c r="AA53" s="581" t="str">
        <f>IF(M53="","",X53*'HVAC References'!$D$210)</f>
        <v/>
      </c>
      <c r="AB53" s="581" t="str">
        <f t="shared" si="20"/>
        <v>Fail</v>
      </c>
      <c r="AC53" s="581" t="str">
        <f t="shared" si="21"/>
        <v>Fail</v>
      </c>
      <c r="AD53" s="581" t="str">
        <f t="shared" si="22"/>
        <v>Fail</v>
      </c>
      <c r="AE53" s="581" t="str">
        <f>IF(AD53="Fail","",INDEX('HVAC References'!$N$215:$R$223,MATCH(V53,'HVAC References'!$N$215:$N$223,0),2))</f>
        <v/>
      </c>
      <c r="AG53" s="581" t="str">
        <f>IF(AE53="","",INDEX('HVAC References'!$F$209:$H$211,MATCH(M53,'HVAC References'!$F$209:$F$211,0),3))</f>
        <v/>
      </c>
      <c r="AH53" s="581" t="str">
        <f>IF(AG53="","",'HVAC References'!$K$236)</f>
        <v/>
      </c>
      <c r="AI53" s="581" t="str">
        <f>IF($AG53="","",INDEX('HVAC References'!$L$230:$R$248,MATCH($AG53,'HVAC References'!$L$230:$L$248,0),2))</f>
        <v/>
      </c>
      <c r="AJ53" s="581" t="str">
        <f>IF($AG53="","",INDEX('HVAC References'!$L$230:$R$248,MATCH($AG53,'HVAC References'!$L$230:$L$248,0),3))</f>
        <v/>
      </c>
      <c r="AK53" s="581" t="str">
        <f>IF($AG53="","",INDEX('HVAC References'!$L$230:$R$248,MATCH($AG53,'HVAC References'!$L$230:$L$248,0),4))</f>
        <v/>
      </c>
      <c r="AL53" s="581" t="str">
        <f>IF($AG53="","",INDEX('HVAC References'!$L$230:$R$248,MATCH($AG53,'HVAC References'!$L$230:$L$248,0),5))</f>
        <v/>
      </c>
      <c r="AM53" s="581" t="str">
        <f>IF(OR(AG53="",E53&lt;&gt;"AO"),"",INDEX('HVAC References'!$G$215:$K$217,MATCH($E53,'HVAC References'!$G$215:$G$217,0),5))</f>
        <v/>
      </c>
      <c r="AN53" s="581" t="str">
        <f>IF($AG53="","",INDEX('HVAC References'!$L$230:$R$248,MATCH($AG53,'HVAC References'!$L$230:$L$248,0),6))</f>
        <v/>
      </c>
      <c r="AO53" s="581" t="str">
        <f>IF($AG53="","",INDEX('HVAC References'!$L$230:$R$248,MATCH($AG53,'HVAC References'!$L$230:$L$248,0),7))</f>
        <v/>
      </c>
      <c r="AP53" s="581" t="str">
        <f t="shared" si="23"/>
        <v/>
      </c>
      <c r="AQ53" s="581" t="str">
        <f t="shared" si="24"/>
        <v/>
      </c>
      <c r="AR53" s="581" t="str">
        <f t="shared" si="25"/>
        <v/>
      </c>
      <c r="AS53" s="581" t="str">
        <f t="shared" si="26"/>
        <v/>
      </c>
      <c r="AU53" s="581" t="str">
        <f t="shared" si="27"/>
        <v/>
      </c>
      <c r="AV53" s="581" t="str">
        <f t="shared" si="28"/>
        <v/>
      </c>
      <c r="AW53" s="581" t="str">
        <f t="shared" si="29"/>
        <v/>
      </c>
      <c r="AX53" s="581" t="str">
        <f t="shared" si="30"/>
        <v/>
      </c>
      <c r="AY53" s="581" t="str">
        <f t="shared" si="31"/>
        <v/>
      </c>
      <c r="AZ53" s="581" t="str">
        <f t="shared" si="32"/>
        <v/>
      </c>
      <c r="BA53" s="581" t="str">
        <f>IF(AE53="","",AX53*'HVAC References'!$H$12)</f>
        <v/>
      </c>
      <c r="BB53" s="581" t="str">
        <f>IF(AE53="","",IF(J53=1,X53*((1/I53)*T53*AN53*(1/1000000))-(AY53*'HVAC References'!$H$12),0))</f>
        <v/>
      </c>
      <c r="BC53" s="581" t="str">
        <f t="shared" si="33"/>
        <v/>
      </c>
      <c r="BE53" s="581" t="str">
        <f>'Part Building ccASHP Worksheet'!Q35</f>
        <v/>
      </c>
      <c r="BF53" s="581">
        <f>IF(AE53="",0,IF('HVAC References'!$K$12="Yes",'HVAC References'!$H$221,'HVAC References'!$H$220))</f>
        <v>0</v>
      </c>
      <c r="BG53" s="581">
        <f t="shared" si="34"/>
        <v>0</v>
      </c>
      <c r="BH53" s="1264"/>
    </row>
    <row r="54" spans="1:60" x14ac:dyDescent="0.25">
      <c r="A54" s="429">
        <v>18</v>
      </c>
      <c r="B54" s="428" t="str">
        <f>IF(AE54="","",IF('Part Building ccASHP Worksheet'!$O$12="","",'Part Building ccASHP Worksheet'!$O$12))</f>
        <v/>
      </c>
      <c r="C54" s="428" t="str">
        <f>IF(M54="","",'Part Building ccASHP Worksheet'!S36)</f>
        <v/>
      </c>
      <c r="D54" s="428" t="str">
        <f>IF(M54="","",'Part Building ccASHP Worksheet'!T36)</f>
        <v/>
      </c>
      <c r="E54" s="433" t="str">
        <f>IF(M54="","",IF(OR(D54='HVAC References'!$B$220,D54='HVAC References'!$B$221),"NC",IF(AND(AND(LEFT(C54,5)&lt;&gt;"Split",LEFT(C54,6)&lt;&gt;"Single"),D54="Oil"),"OC","AO")))</f>
        <v/>
      </c>
      <c r="F54" s="428" t="str">
        <f>IF(M54="","",IF('Part Building ccASHP Worksheet'!V36="",INDEX('HVAC References'!$G$215:$K$217,MATCH($E54,'HVAC References'!$G$215:$G$217,0),3),'Part Building ccASHP Worksheet'!V36))</f>
        <v/>
      </c>
      <c r="G54" s="428" t="str">
        <f>IF(M54="","",IF('Part Building ccASHP Worksheet'!W36="",INDEX('HVAC References'!$G$215:$K$217,MATCH($E54,'HVAC References'!$G$215:$G$217,0),2),'Part Building ccASHP Worksheet'!W36))</f>
        <v/>
      </c>
      <c r="H54" s="428" t="str">
        <f>IF(M54="","",INDEX('HVAC References'!$G$215:$K$217,MATCH($E54,'HVAC References'!$G$215:$G$217,0),4))</f>
        <v/>
      </c>
      <c r="I54" s="428" t="str" cm="1">
        <f t="array" ref="I54">IF(M54="","",IF('Part Building ccASHP Worksheet'!Z36="",INDEX('HVAC References'!$B$215:$E$221,MATCH(D54,'HVAC References'!$B$215:$B$221,0),IF(E54='HVAC References'!$D$214,3,IF(E54='HVAC References'!$E$214,4,IF(E54='HVAC References'!$C$214,2)))),'Part Building ccASHP Worksheet'!Z36))</f>
        <v/>
      </c>
      <c r="J54" s="436">
        <f>IF(D54='HVAC References'!$F$4,0,1)</f>
        <v>1</v>
      </c>
      <c r="K54" s="436">
        <f>IF(D54='HVAC References'!$F$4,1,0)</f>
        <v>0</v>
      </c>
      <c r="M54" s="581" t="str">
        <f>IF('Part Building ccASHP Worksheet'!B36="","",'Part Building ccASHP Worksheet'!B36)</f>
        <v/>
      </c>
      <c r="N54" s="428" t="str">
        <f>IF(M54="","",'Part Building ccASHP Worksheet'!F36)</f>
        <v/>
      </c>
      <c r="O54" s="428" t="str">
        <f>IF(M54="","",'Part Building ccASHP Worksheet'!G36)</f>
        <v/>
      </c>
      <c r="P54" s="428" t="str">
        <f>IF(M54="","",'Part Building ccASHP Worksheet'!I36)</f>
        <v/>
      </c>
      <c r="Q54" s="428" t="str">
        <f>IF(M54="","",'Part Building ccASHP Worksheet'!H36)</f>
        <v/>
      </c>
      <c r="R54" s="428" t="str">
        <f>IF(M54="","",'Part Building ccASHP Worksheet'!J36)</f>
        <v/>
      </c>
      <c r="S54" s="428" t="str">
        <f>IF($M54="","",INDEX('HVAC References'!$T$230:$V$243,MATCH(B54,'HVAC References'!$T$230:$T$243,0),2))</f>
        <v/>
      </c>
      <c r="T54" s="428" t="str">
        <f>IF($M54="","",INDEX('HVAC References'!$T$230:$V$243,MATCH(B54,'HVAC References'!$T$230:$T$243,0),3))</f>
        <v/>
      </c>
      <c r="V54" s="581" t="str">
        <f t="shared" si="19"/>
        <v xml:space="preserve"> </v>
      </c>
      <c r="W54" s="581" t="str">
        <f>IF($M54="","",'Part Building ccASHP Worksheet'!L36)</f>
        <v/>
      </c>
      <c r="X54" s="581" t="str">
        <f>IF($M54="","",'Part Building ccASHP Worksheet'!M36)</f>
        <v/>
      </c>
      <c r="Y54" s="581" t="str">
        <f>IF($M54="","",'Part Building ccASHP Worksheet'!$B$14)</f>
        <v/>
      </c>
      <c r="Z54" s="581" t="str">
        <f>IF(M54="","",X54*'HVAC References'!$D$209)</f>
        <v/>
      </c>
      <c r="AA54" s="581" t="str">
        <f>IF(M54="","",X54*'HVAC References'!$D$210)</f>
        <v/>
      </c>
      <c r="AB54" s="581" t="str">
        <f t="shared" si="20"/>
        <v>Fail</v>
      </c>
      <c r="AC54" s="581" t="str">
        <f t="shared" si="21"/>
        <v>Fail</v>
      </c>
      <c r="AD54" s="581" t="str">
        <f t="shared" si="22"/>
        <v>Fail</v>
      </c>
      <c r="AE54" s="581" t="str">
        <f>IF(AD54="Fail","",INDEX('HVAC References'!$N$215:$R$223,MATCH(V54,'HVAC References'!$N$215:$N$223,0),2))</f>
        <v/>
      </c>
      <c r="AG54" s="581" t="str">
        <f>IF(AE54="","",INDEX('HVAC References'!$F$209:$H$211,MATCH(M54,'HVAC References'!$F$209:$F$211,0),3))</f>
        <v/>
      </c>
      <c r="AH54" s="581" t="str">
        <f>IF(AG54="","",'HVAC References'!$K$236)</f>
        <v/>
      </c>
      <c r="AI54" s="581" t="str">
        <f>IF($AG54="","",INDEX('HVAC References'!$L$230:$R$248,MATCH($AG54,'HVAC References'!$L$230:$L$248,0),2))</f>
        <v/>
      </c>
      <c r="AJ54" s="581" t="str">
        <f>IF($AG54="","",INDEX('HVAC References'!$L$230:$R$248,MATCH($AG54,'HVAC References'!$L$230:$L$248,0),3))</f>
        <v/>
      </c>
      <c r="AK54" s="581" t="str">
        <f>IF($AG54="","",INDEX('HVAC References'!$L$230:$R$248,MATCH($AG54,'HVAC References'!$L$230:$L$248,0),4))</f>
        <v/>
      </c>
      <c r="AL54" s="581" t="str">
        <f>IF($AG54="","",INDEX('HVAC References'!$L$230:$R$248,MATCH($AG54,'HVAC References'!$L$230:$L$248,0),5))</f>
        <v/>
      </c>
      <c r="AM54" s="581" t="str">
        <f>IF(OR(AG54="",E54&lt;&gt;"AO"),"",INDEX('HVAC References'!$G$215:$K$217,MATCH($E54,'HVAC References'!$G$215:$G$217,0),5))</f>
        <v/>
      </c>
      <c r="AN54" s="581" t="str">
        <f>IF($AG54="","",INDEX('HVAC References'!$L$230:$R$248,MATCH($AG54,'HVAC References'!$L$230:$L$248,0),6))</f>
        <v/>
      </c>
      <c r="AO54" s="581" t="str">
        <f>IF($AG54="","",INDEX('HVAC References'!$L$230:$R$248,MATCH($AG54,'HVAC References'!$L$230:$L$248,0),7))</f>
        <v/>
      </c>
      <c r="AP54" s="581" t="str">
        <f t="shared" si="23"/>
        <v/>
      </c>
      <c r="AQ54" s="581" t="str">
        <f t="shared" si="24"/>
        <v/>
      </c>
      <c r="AR54" s="581" t="str">
        <f t="shared" si="25"/>
        <v/>
      </c>
      <c r="AS54" s="581" t="str">
        <f t="shared" si="26"/>
        <v/>
      </c>
      <c r="AU54" s="581" t="str">
        <f t="shared" si="27"/>
        <v/>
      </c>
      <c r="AV54" s="581" t="str">
        <f t="shared" si="28"/>
        <v/>
      </c>
      <c r="AW54" s="581" t="str">
        <f t="shared" si="29"/>
        <v/>
      </c>
      <c r="AX54" s="581" t="str">
        <f t="shared" si="30"/>
        <v/>
      </c>
      <c r="AY54" s="581" t="str">
        <f t="shared" si="31"/>
        <v/>
      </c>
      <c r="AZ54" s="581" t="str">
        <f t="shared" si="32"/>
        <v/>
      </c>
      <c r="BA54" s="581" t="str">
        <f>IF(AE54="","",AX54*'HVAC References'!$H$12)</f>
        <v/>
      </c>
      <c r="BB54" s="581" t="str">
        <f>IF(AE54="","",IF(J54=1,X54*((1/I54)*T54*AN54*(1/1000000))-(AY54*'HVAC References'!$H$12),0))</f>
        <v/>
      </c>
      <c r="BC54" s="581" t="str">
        <f t="shared" si="33"/>
        <v/>
      </c>
      <c r="BE54" s="581" t="str">
        <f>'Part Building ccASHP Worksheet'!Q36</f>
        <v/>
      </c>
      <c r="BF54" s="581">
        <f>IF(AE54="",0,IF('HVAC References'!$K$12="Yes",'HVAC References'!$H$221,'HVAC References'!$H$220))</f>
        <v>0</v>
      </c>
      <c r="BG54" s="581">
        <f t="shared" si="34"/>
        <v>0</v>
      </c>
      <c r="BH54" s="1264"/>
    </row>
    <row r="55" spans="1:60" x14ac:dyDescent="0.25">
      <c r="A55" s="429">
        <v>19</v>
      </c>
      <c r="B55" s="428" t="str">
        <f>IF(AE55="","",IF('Part Building ccASHP Worksheet'!$O$12="","",'Part Building ccASHP Worksheet'!$O$12))</f>
        <v/>
      </c>
      <c r="C55" s="428" t="str">
        <f>IF(M55="","",'Part Building ccASHP Worksheet'!S37)</f>
        <v/>
      </c>
      <c r="D55" s="428" t="str">
        <f>IF(M55="","",'Part Building ccASHP Worksheet'!T37)</f>
        <v/>
      </c>
      <c r="E55" s="433" t="str">
        <f>IF(M55="","",IF(OR(D55='HVAC References'!$B$220,D55='HVAC References'!$B$221),"NC",IF(AND(AND(LEFT(C55,5)&lt;&gt;"Split",LEFT(C55,6)&lt;&gt;"Single"),D55="Oil"),"OC","AO")))</f>
        <v/>
      </c>
      <c r="F55" s="428" t="str">
        <f>IF(M55="","",IF('Part Building ccASHP Worksheet'!V37="",INDEX('HVAC References'!$G$215:$K$217,MATCH($E55,'HVAC References'!$G$215:$G$217,0),3),'Part Building ccASHP Worksheet'!V37))</f>
        <v/>
      </c>
      <c r="G55" s="428" t="str">
        <f>IF(M55="","",IF('Part Building ccASHP Worksheet'!W37="",INDEX('HVAC References'!$G$215:$K$217,MATCH($E55,'HVAC References'!$G$215:$G$217,0),2),'Part Building ccASHP Worksheet'!W37))</f>
        <v/>
      </c>
      <c r="H55" s="428" t="str">
        <f>IF(M55="","",INDEX('HVAC References'!$G$215:$K$217,MATCH($E55,'HVAC References'!$G$215:$G$217,0),4))</f>
        <v/>
      </c>
      <c r="I55" s="428" t="str" cm="1">
        <f t="array" ref="I55">IF(M55="","",IF('Part Building ccASHP Worksheet'!Z37="",INDEX('HVAC References'!$B$215:$E$221,MATCH(D55,'HVAC References'!$B$215:$B$221,0),IF(E55='HVAC References'!$D$214,3,IF(E55='HVAC References'!$E$214,4,IF(E55='HVAC References'!$C$214,2)))),'Part Building ccASHP Worksheet'!Z37))</f>
        <v/>
      </c>
      <c r="J55" s="436">
        <f>IF(D55='HVAC References'!$F$4,0,1)</f>
        <v>1</v>
      </c>
      <c r="K55" s="436">
        <f>IF(D55='HVAC References'!$F$4,1,0)</f>
        <v>0</v>
      </c>
      <c r="M55" s="581" t="str">
        <f>IF('Part Building ccASHP Worksheet'!B37="","",'Part Building ccASHP Worksheet'!B37)</f>
        <v/>
      </c>
      <c r="N55" s="428" t="str">
        <f>IF(M55="","",'Part Building ccASHP Worksheet'!F37)</f>
        <v/>
      </c>
      <c r="O55" s="428" t="str">
        <f>IF(M55="","",'Part Building ccASHP Worksheet'!G37)</f>
        <v/>
      </c>
      <c r="P55" s="428" t="str">
        <f>IF(M55="","",'Part Building ccASHP Worksheet'!I37)</f>
        <v/>
      </c>
      <c r="Q55" s="428" t="str">
        <f>IF(M55="","",'Part Building ccASHP Worksheet'!H37)</f>
        <v/>
      </c>
      <c r="R55" s="428" t="str">
        <f>IF(M55="","",'Part Building ccASHP Worksheet'!J37)</f>
        <v/>
      </c>
      <c r="S55" s="428" t="str">
        <f>IF($M55="","",INDEX('HVAC References'!$T$230:$V$243,MATCH(B55,'HVAC References'!$T$230:$T$243,0),2))</f>
        <v/>
      </c>
      <c r="T55" s="428" t="str">
        <f>IF($M55="","",INDEX('HVAC References'!$T$230:$V$243,MATCH(B55,'HVAC References'!$T$230:$T$243,0),3))</f>
        <v/>
      </c>
      <c r="V55" s="581" t="str">
        <f t="shared" si="19"/>
        <v xml:space="preserve"> </v>
      </c>
      <c r="W55" s="581" t="str">
        <f>IF($M55="","",'Part Building ccASHP Worksheet'!L37)</f>
        <v/>
      </c>
      <c r="X55" s="581" t="str">
        <f>IF($M55="","",'Part Building ccASHP Worksheet'!M37)</f>
        <v/>
      </c>
      <c r="Y55" s="581" t="str">
        <f>IF($M55="","",'Part Building ccASHP Worksheet'!$B$14)</f>
        <v/>
      </c>
      <c r="Z55" s="581" t="str">
        <f>IF(M55="","",X55*'HVAC References'!$D$209)</f>
        <v/>
      </c>
      <c r="AA55" s="581" t="str">
        <f>IF(M55="","",X55*'HVAC References'!$D$210)</f>
        <v/>
      </c>
      <c r="AB55" s="581" t="str">
        <f t="shared" si="20"/>
        <v>Fail</v>
      </c>
      <c r="AC55" s="581" t="str">
        <f t="shared" si="21"/>
        <v>Fail</v>
      </c>
      <c r="AD55" s="581" t="str">
        <f t="shared" si="22"/>
        <v>Fail</v>
      </c>
      <c r="AE55" s="581" t="str">
        <f>IF(AD55="Fail","",INDEX('HVAC References'!$N$215:$R$223,MATCH(V55,'HVAC References'!$N$215:$N$223,0),2))</f>
        <v/>
      </c>
      <c r="AG55" s="581" t="str">
        <f>IF(AE55="","",INDEX('HVAC References'!$F$209:$H$211,MATCH(M55,'HVAC References'!$F$209:$F$211,0),3))</f>
        <v/>
      </c>
      <c r="AH55" s="581" t="str">
        <f>IF(AG55="","",'HVAC References'!$K$236)</f>
        <v/>
      </c>
      <c r="AI55" s="581" t="str">
        <f>IF($AG55="","",INDEX('HVAC References'!$L$230:$R$248,MATCH($AG55,'HVAC References'!$L$230:$L$248,0),2))</f>
        <v/>
      </c>
      <c r="AJ55" s="581" t="str">
        <f>IF($AG55="","",INDEX('HVAC References'!$L$230:$R$248,MATCH($AG55,'HVAC References'!$L$230:$L$248,0),3))</f>
        <v/>
      </c>
      <c r="AK55" s="581" t="str">
        <f>IF($AG55="","",INDEX('HVAC References'!$L$230:$R$248,MATCH($AG55,'HVAC References'!$L$230:$L$248,0),4))</f>
        <v/>
      </c>
      <c r="AL55" s="581" t="str">
        <f>IF($AG55="","",INDEX('HVAC References'!$L$230:$R$248,MATCH($AG55,'HVAC References'!$L$230:$L$248,0),5))</f>
        <v/>
      </c>
      <c r="AM55" s="581" t="str">
        <f>IF(OR(AG55="",E55&lt;&gt;"AO"),"",INDEX('HVAC References'!$G$215:$K$217,MATCH($E55,'HVAC References'!$G$215:$G$217,0),5))</f>
        <v/>
      </c>
      <c r="AN55" s="581" t="str">
        <f>IF($AG55="","",INDEX('HVAC References'!$L$230:$R$248,MATCH($AG55,'HVAC References'!$L$230:$L$248,0),6))</f>
        <v/>
      </c>
      <c r="AO55" s="581" t="str">
        <f>IF($AG55="","",INDEX('HVAC References'!$L$230:$R$248,MATCH($AG55,'HVAC References'!$L$230:$L$248,0),7))</f>
        <v/>
      </c>
      <c r="AP55" s="581" t="str">
        <f t="shared" si="23"/>
        <v/>
      </c>
      <c r="AQ55" s="581" t="str">
        <f t="shared" si="24"/>
        <v/>
      </c>
      <c r="AR55" s="581" t="str">
        <f t="shared" si="25"/>
        <v/>
      </c>
      <c r="AS55" s="581" t="str">
        <f t="shared" si="26"/>
        <v/>
      </c>
      <c r="AU55" s="581" t="str">
        <f t="shared" si="27"/>
        <v/>
      </c>
      <c r="AV55" s="581" t="str">
        <f t="shared" si="28"/>
        <v/>
      </c>
      <c r="AW55" s="581" t="str">
        <f t="shared" si="29"/>
        <v/>
      </c>
      <c r="AX55" s="581" t="str">
        <f t="shared" si="30"/>
        <v/>
      </c>
      <c r="AY55" s="581" t="str">
        <f t="shared" si="31"/>
        <v/>
      </c>
      <c r="AZ55" s="581" t="str">
        <f t="shared" si="32"/>
        <v/>
      </c>
      <c r="BA55" s="581" t="str">
        <f>IF(AE55="","",AX55*'HVAC References'!$H$12)</f>
        <v/>
      </c>
      <c r="BB55" s="581" t="str">
        <f>IF(AE55="","",IF(J55=1,X55*((1/I55)*T55*AN55*(1/1000000))-(AY55*'HVAC References'!$H$12),0))</f>
        <v/>
      </c>
      <c r="BC55" s="581" t="str">
        <f t="shared" si="33"/>
        <v/>
      </c>
      <c r="BE55" s="581" t="str">
        <f>'Part Building ccASHP Worksheet'!Q37</f>
        <v/>
      </c>
      <c r="BF55" s="581">
        <f>IF(AE55="",0,IF('HVAC References'!$K$12="Yes",'HVAC References'!$H$221,'HVAC References'!$H$220))</f>
        <v>0</v>
      </c>
      <c r="BG55" s="581">
        <f t="shared" si="34"/>
        <v>0</v>
      </c>
      <c r="BH55" s="1264"/>
    </row>
    <row r="56" spans="1:60" x14ac:dyDescent="0.25">
      <c r="A56" s="429">
        <v>20</v>
      </c>
      <c r="B56" s="428" t="str">
        <f>IF(AE56="","",IF('Part Building ccASHP Worksheet'!$O$12="","",'Part Building ccASHP Worksheet'!$O$12))</f>
        <v/>
      </c>
      <c r="C56" s="428" t="str">
        <f>IF(M56="","",'Part Building ccASHP Worksheet'!S38)</f>
        <v/>
      </c>
      <c r="D56" s="428" t="str">
        <f>IF(M56="","",'Part Building ccASHP Worksheet'!T38)</f>
        <v/>
      </c>
      <c r="E56" s="433" t="str">
        <f>IF(M56="","",IF(OR(D56='HVAC References'!$B$220,D56='HVAC References'!$B$221),"NC",IF(AND(AND(LEFT(C56,5)&lt;&gt;"Split",LEFT(C56,6)&lt;&gt;"Single"),D56="Oil"),"OC","AO")))</f>
        <v/>
      </c>
      <c r="F56" s="428" t="str">
        <f>IF(M56="","",IF('Part Building ccASHP Worksheet'!V38="",INDEX('HVAC References'!$G$215:$K$217,MATCH($E56,'HVAC References'!$G$215:$G$217,0),3),'Part Building ccASHP Worksheet'!V38))</f>
        <v/>
      </c>
      <c r="G56" s="428" t="str">
        <f>IF(M56="","",IF('Part Building ccASHP Worksheet'!W38="",INDEX('HVAC References'!$G$215:$K$217,MATCH($E56,'HVAC References'!$G$215:$G$217,0),2),'Part Building ccASHP Worksheet'!W38))</f>
        <v/>
      </c>
      <c r="H56" s="428" t="str">
        <f>IF(M56="","",INDEX('HVAC References'!$G$215:$K$217,MATCH($E56,'HVAC References'!$G$215:$G$217,0),4))</f>
        <v/>
      </c>
      <c r="I56" s="428" t="str" cm="1">
        <f t="array" ref="I56">IF(M56="","",IF('Part Building ccASHP Worksheet'!Z38="",INDEX('HVAC References'!$B$215:$E$221,MATCH(D56,'HVAC References'!$B$215:$B$221,0),IF(E56='HVAC References'!$D$214,3,IF(E56='HVAC References'!$E$214,4,IF(E56='HVAC References'!$C$214,2)))),'Part Building ccASHP Worksheet'!Z38))</f>
        <v/>
      </c>
      <c r="J56" s="436">
        <f>IF(D56='HVAC References'!$F$4,0,1)</f>
        <v>1</v>
      </c>
      <c r="K56" s="436">
        <f>IF(D56='HVAC References'!$F$4,1,0)</f>
        <v>0</v>
      </c>
      <c r="M56" s="581" t="str">
        <f>IF('Part Building ccASHP Worksheet'!B38="","",'Part Building ccASHP Worksheet'!B38)</f>
        <v/>
      </c>
      <c r="N56" s="428" t="str">
        <f>IF(M56="","",'Part Building ccASHP Worksheet'!F38)</f>
        <v/>
      </c>
      <c r="O56" s="428" t="str">
        <f>IF(M56="","",'Part Building ccASHP Worksheet'!G38)</f>
        <v/>
      </c>
      <c r="P56" s="428" t="str">
        <f>IF(M56="","",'Part Building ccASHP Worksheet'!I38)</f>
        <v/>
      </c>
      <c r="Q56" s="428" t="str">
        <f>IF(M56="","",'Part Building ccASHP Worksheet'!H38)</f>
        <v/>
      </c>
      <c r="R56" s="428" t="str">
        <f>IF(M56="","",'Part Building ccASHP Worksheet'!J38)</f>
        <v/>
      </c>
      <c r="S56" s="428" t="str">
        <f>IF($M56="","",INDEX('HVAC References'!$T$230:$V$243,MATCH(B56,'HVAC References'!$T$230:$T$243,0),2))</f>
        <v/>
      </c>
      <c r="T56" s="428" t="str">
        <f>IF($M56="","",INDEX('HVAC References'!$T$230:$V$243,MATCH(B56,'HVAC References'!$T$230:$T$243,0),3))</f>
        <v/>
      </c>
      <c r="V56" s="581" t="str">
        <f t="shared" si="19"/>
        <v xml:space="preserve"> </v>
      </c>
      <c r="W56" s="581" t="str">
        <f>IF($M56="","",'Part Building ccASHP Worksheet'!L38)</f>
        <v/>
      </c>
      <c r="X56" s="581" t="str">
        <f>IF($M56="","",'Part Building ccASHP Worksheet'!M38)</f>
        <v/>
      </c>
      <c r="Y56" s="581" t="str">
        <f>IF($M56="","",'Part Building ccASHP Worksheet'!$B$14)</f>
        <v/>
      </c>
      <c r="Z56" s="581" t="str">
        <f>IF(M56="","",X56*'HVAC References'!$D$209)</f>
        <v/>
      </c>
      <c r="AA56" s="581" t="str">
        <f>IF(M56="","",X56*'HVAC References'!$D$210)</f>
        <v/>
      </c>
      <c r="AB56" s="581" t="str">
        <f t="shared" si="20"/>
        <v>Fail</v>
      </c>
      <c r="AC56" s="581" t="str">
        <f t="shared" si="21"/>
        <v>Fail</v>
      </c>
      <c r="AD56" s="581" t="str">
        <f t="shared" si="22"/>
        <v>Fail</v>
      </c>
      <c r="AE56" s="581" t="str">
        <f>IF(AD56="Fail","",INDEX('HVAC References'!$N$215:$R$223,MATCH(V56,'HVAC References'!$N$215:$N$223,0),2))</f>
        <v/>
      </c>
      <c r="AG56" s="581" t="str">
        <f>IF(AE56="","",INDEX('HVAC References'!$F$209:$H$211,MATCH(M56,'HVAC References'!$F$209:$F$211,0),3))</f>
        <v/>
      </c>
      <c r="AH56" s="581" t="str">
        <f>IF(AG56="","",'HVAC References'!$K$236)</f>
        <v/>
      </c>
      <c r="AI56" s="581" t="str">
        <f>IF($AG56="","",INDEX('HVAC References'!$L$230:$R$248,MATCH($AG56,'HVAC References'!$L$230:$L$248,0),2))</f>
        <v/>
      </c>
      <c r="AJ56" s="581" t="str">
        <f>IF($AG56="","",INDEX('HVAC References'!$L$230:$R$248,MATCH($AG56,'HVAC References'!$L$230:$L$248,0),3))</f>
        <v/>
      </c>
      <c r="AK56" s="581" t="str">
        <f>IF($AG56="","",INDEX('HVAC References'!$L$230:$R$248,MATCH($AG56,'HVAC References'!$L$230:$L$248,0),4))</f>
        <v/>
      </c>
      <c r="AL56" s="581" t="str">
        <f>IF($AG56="","",INDEX('HVAC References'!$L$230:$R$248,MATCH($AG56,'HVAC References'!$L$230:$L$248,0),5))</f>
        <v/>
      </c>
      <c r="AM56" s="581" t="str">
        <f>IF(OR(AG56="",E56&lt;&gt;"AO"),"",INDEX('HVAC References'!$G$215:$K$217,MATCH($E56,'HVAC References'!$G$215:$G$217,0),5))</f>
        <v/>
      </c>
      <c r="AN56" s="581" t="str">
        <f>IF($AG56="","",INDEX('HVAC References'!$L$230:$R$248,MATCH($AG56,'HVAC References'!$L$230:$L$248,0),6))</f>
        <v/>
      </c>
      <c r="AO56" s="581" t="str">
        <f>IF($AG56="","",INDEX('HVAC References'!$L$230:$R$248,MATCH($AG56,'HVAC References'!$L$230:$L$248,0),7))</f>
        <v/>
      </c>
      <c r="AP56" s="581" t="str">
        <f t="shared" si="23"/>
        <v/>
      </c>
      <c r="AQ56" s="581" t="str">
        <f t="shared" si="24"/>
        <v/>
      </c>
      <c r="AR56" s="581" t="str">
        <f t="shared" si="25"/>
        <v/>
      </c>
      <c r="AS56" s="581" t="str">
        <f t="shared" si="26"/>
        <v/>
      </c>
      <c r="AU56" s="581" t="str">
        <f t="shared" si="27"/>
        <v/>
      </c>
      <c r="AV56" s="581" t="str">
        <f t="shared" si="28"/>
        <v/>
      </c>
      <c r="AW56" s="581" t="str">
        <f t="shared" si="29"/>
        <v/>
      </c>
      <c r="AX56" s="581" t="str">
        <f t="shared" si="30"/>
        <v/>
      </c>
      <c r="AY56" s="581" t="str">
        <f t="shared" si="31"/>
        <v/>
      </c>
      <c r="AZ56" s="581" t="str">
        <f t="shared" si="32"/>
        <v/>
      </c>
      <c r="BA56" s="581" t="str">
        <f>IF(AE56="","",AX56*'HVAC References'!$H$12)</f>
        <v/>
      </c>
      <c r="BB56" s="581" t="str">
        <f>IF(AE56="","",IF(J56=1,X56*((1/I56)*T56*AN56*(1/1000000))-(AY56*'HVAC References'!$H$12),0))</f>
        <v/>
      </c>
      <c r="BC56" s="581" t="str">
        <f t="shared" si="33"/>
        <v/>
      </c>
      <c r="BE56" s="581" t="str">
        <f>'Part Building ccASHP Worksheet'!Q38</f>
        <v/>
      </c>
      <c r="BF56" s="581">
        <f>IF(AE56="",0,IF('HVAC References'!$K$12="Yes",'HVAC References'!$H$221,'HVAC References'!$H$220))</f>
        <v>0</v>
      </c>
      <c r="BG56" s="581">
        <f t="shared" si="34"/>
        <v>0</v>
      </c>
      <c r="BH56" s="1264"/>
    </row>
    <row r="57" spans="1:60" x14ac:dyDescent="0.25">
      <c r="A57" s="429">
        <v>21</v>
      </c>
      <c r="B57" s="428" t="str">
        <f>IF(AE57="","",IF('Part Building ccASHP Worksheet'!$O$12="","",'Part Building ccASHP Worksheet'!$O$12))</f>
        <v/>
      </c>
      <c r="C57" s="428" t="str">
        <f>IF(M57="","",'Part Building ccASHP Worksheet'!S39)</f>
        <v/>
      </c>
      <c r="D57" s="428" t="str">
        <f>IF(M57="","",'Part Building ccASHP Worksheet'!T39)</f>
        <v/>
      </c>
      <c r="E57" s="433" t="str">
        <f>IF(M57="","",IF(OR(D57='HVAC References'!$B$220,D57='HVAC References'!$B$221),"NC",IF(AND(AND(LEFT(C57,5)&lt;&gt;"Split",LEFT(C57,6)&lt;&gt;"Single"),D57="Oil"),"OC","AO")))</f>
        <v/>
      </c>
      <c r="F57" s="428" t="str">
        <f>IF(M57="","",IF('Part Building ccASHP Worksheet'!V39="",INDEX('HVAC References'!$G$215:$K$217,MATCH($E57,'HVAC References'!$G$215:$G$217,0),3),'Part Building ccASHP Worksheet'!V39))</f>
        <v/>
      </c>
      <c r="G57" s="428" t="str">
        <f>IF(M57="","",IF('Part Building ccASHP Worksheet'!W39="",INDEX('HVAC References'!$G$215:$K$217,MATCH($E57,'HVAC References'!$G$215:$G$217,0),2),'Part Building ccASHP Worksheet'!W39))</f>
        <v/>
      </c>
      <c r="H57" s="428" t="str">
        <f>IF(M57="","",INDEX('HVAC References'!$G$215:$K$217,MATCH($E57,'HVAC References'!$G$215:$G$217,0),4))</f>
        <v/>
      </c>
      <c r="I57" s="428" t="str" cm="1">
        <f t="array" ref="I57">IF(M57="","",IF('Part Building ccASHP Worksheet'!Z39="",INDEX('HVAC References'!$B$215:$E$221,MATCH(D57,'HVAC References'!$B$215:$B$221,0),IF(E57='HVAC References'!$D$214,3,IF(E57='HVAC References'!$E$214,4,IF(E57='HVAC References'!$C$214,2)))),'Part Building ccASHP Worksheet'!Z39))</f>
        <v/>
      </c>
      <c r="J57" s="436">
        <f>IF(D57='HVAC References'!$F$4,0,1)</f>
        <v>1</v>
      </c>
      <c r="K57" s="436">
        <f>IF(D57='HVAC References'!$F$4,1,0)</f>
        <v>0</v>
      </c>
      <c r="M57" s="581" t="str">
        <f>IF('Part Building ccASHP Worksheet'!B39="","",'Part Building ccASHP Worksheet'!B39)</f>
        <v/>
      </c>
      <c r="N57" s="428" t="str">
        <f>IF(M57="","",'Part Building ccASHP Worksheet'!F39)</f>
        <v/>
      </c>
      <c r="O57" s="428" t="str">
        <f>IF(M57="","",'Part Building ccASHP Worksheet'!G39)</f>
        <v/>
      </c>
      <c r="P57" s="428" t="str">
        <f>IF(M57="","",'Part Building ccASHP Worksheet'!I39)</f>
        <v/>
      </c>
      <c r="Q57" s="428" t="str">
        <f>IF(M57="","",'Part Building ccASHP Worksheet'!H39)</f>
        <v/>
      </c>
      <c r="R57" s="428" t="str">
        <f>IF(M57="","",'Part Building ccASHP Worksheet'!J39)</f>
        <v/>
      </c>
      <c r="S57" s="428" t="str">
        <f>IF($M57="","",INDEX('HVAC References'!$T$230:$V$243,MATCH(B57,'HVAC References'!$T$230:$T$243,0),2))</f>
        <v/>
      </c>
      <c r="T57" s="428" t="str">
        <f>IF($M57="","",INDEX('HVAC References'!$T$230:$V$243,MATCH(B57,'HVAC References'!$T$230:$T$243,0),3))</f>
        <v/>
      </c>
      <c r="V57" s="581" t="str">
        <f t="shared" si="19"/>
        <v xml:space="preserve"> </v>
      </c>
      <c r="W57" s="581" t="str">
        <f>IF($M57="","",'Part Building ccASHP Worksheet'!L39)</f>
        <v/>
      </c>
      <c r="X57" s="581" t="str">
        <f>IF($M57="","",'Part Building ccASHP Worksheet'!M39)</f>
        <v/>
      </c>
      <c r="Y57" s="581" t="str">
        <f>IF($M57="","",'Part Building ccASHP Worksheet'!$B$14)</f>
        <v/>
      </c>
      <c r="Z57" s="581" t="str">
        <f>IF(M57="","",X57*'HVAC References'!$D$209)</f>
        <v/>
      </c>
      <c r="AA57" s="581" t="str">
        <f>IF(M57="","",X57*'HVAC References'!$D$210)</f>
        <v/>
      </c>
      <c r="AB57" s="581" t="str">
        <f t="shared" si="20"/>
        <v>Fail</v>
      </c>
      <c r="AC57" s="581" t="str">
        <f t="shared" si="21"/>
        <v>Fail</v>
      </c>
      <c r="AD57" s="581" t="str">
        <f t="shared" si="22"/>
        <v>Fail</v>
      </c>
      <c r="AE57" s="581" t="str">
        <f>IF(AD57="Fail","",INDEX('HVAC References'!$N$215:$R$223,MATCH(V57,'HVAC References'!$N$215:$N$223,0),2))</f>
        <v/>
      </c>
      <c r="AG57" s="581" t="str">
        <f>IF(AE57="","",INDEX('HVAC References'!$F$209:$H$211,MATCH(M57,'HVAC References'!$F$209:$F$211,0),3))</f>
        <v/>
      </c>
      <c r="AH57" s="581" t="str">
        <f>IF(AG57="","",'HVAC References'!$K$236)</f>
        <v/>
      </c>
      <c r="AI57" s="581" t="str">
        <f>IF($AG57="","",INDEX('HVAC References'!$L$230:$R$248,MATCH($AG57,'HVAC References'!$L$230:$L$248,0),2))</f>
        <v/>
      </c>
      <c r="AJ57" s="581" t="str">
        <f>IF($AG57="","",INDEX('HVAC References'!$L$230:$R$248,MATCH($AG57,'HVAC References'!$L$230:$L$248,0),3))</f>
        <v/>
      </c>
      <c r="AK57" s="581" t="str">
        <f>IF($AG57="","",INDEX('HVAC References'!$L$230:$R$248,MATCH($AG57,'HVAC References'!$L$230:$L$248,0),4))</f>
        <v/>
      </c>
      <c r="AL57" s="581" t="str">
        <f>IF($AG57="","",INDEX('HVAC References'!$L$230:$R$248,MATCH($AG57,'HVAC References'!$L$230:$L$248,0),5))</f>
        <v/>
      </c>
      <c r="AM57" s="581" t="str">
        <f>IF(OR(AG57="",E57&lt;&gt;"AO"),"",INDEX('HVAC References'!$G$215:$K$217,MATCH($E57,'HVAC References'!$G$215:$G$217,0),5))</f>
        <v/>
      </c>
      <c r="AN57" s="581" t="str">
        <f>IF($AG57="","",INDEX('HVAC References'!$L$230:$R$248,MATCH($AG57,'HVAC References'!$L$230:$L$248,0),6))</f>
        <v/>
      </c>
      <c r="AO57" s="581" t="str">
        <f>IF($AG57="","",INDEX('HVAC References'!$L$230:$R$248,MATCH($AG57,'HVAC References'!$L$230:$L$248,0),7))</f>
        <v/>
      </c>
      <c r="AP57" s="581" t="str">
        <f t="shared" si="23"/>
        <v/>
      </c>
      <c r="AQ57" s="581" t="str">
        <f t="shared" si="24"/>
        <v/>
      </c>
      <c r="AR57" s="581" t="str">
        <f t="shared" si="25"/>
        <v/>
      </c>
      <c r="AS57" s="581" t="str">
        <f t="shared" si="26"/>
        <v/>
      </c>
      <c r="AU57" s="581" t="str">
        <f t="shared" si="27"/>
        <v/>
      </c>
      <c r="AV57" s="581" t="str">
        <f t="shared" si="28"/>
        <v/>
      </c>
      <c r="AW57" s="581" t="str">
        <f t="shared" si="29"/>
        <v/>
      </c>
      <c r="AX57" s="581" t="str">
        <f t="shared" si="30"/>
        <v/>
      </c>
      <c r="AY57" s="581" t="str">
        <f t="shared" si="31"/>
        <v/>
      </c>
      <c r="AZ57" s="581" t="str">
        <f t="shared" si="32"/>
        <v/>
      </c>
      <c r="BA57" s="581" t="str">
        <f>IF(AE57="","",AX57*'HVAC References'!$H$12)</f>
        <v/>
      </c>
      <c r="BB57" s="581" t="str">
        <f>IF(AE57="","",IF(J57=1,X57*((1/I57)*T57*AN57*(1/1000000))-(AY57*'HVAC References'!$H$12),0))</f>
        <v/>
      </c>
      <c r="BC57" s="581" t="str">
        <f t="shared" si="33"/>
        <v/>
      </c>
      <c r="BE57" s="581" t="str">
        <f>'Part Building ccASHP Worksheet'!Q39</f>
        <v/>
      </c>
      <c r="BF57" s="581">
        <f>IF(AE57="",0,IF('HVAC References'!$K$12="Yes",'HVAC References'!$H$221,'HVAC References'!$H$220))</f>
        <v>0</v>
      </c>
      <c r="BG57" s="581">
        <f t="shared" si="34"/>
        <v>0</v>
      </c>
      <c r="BH57" s="1264"/>
    </row>
    <row r="58" spans="1:60" x14ac:dyDescent="0.25">
      <c r="A58" s="429">
        <v>22</v>
      </c>
      <c r="B58" s="428" t="str">
        <f>IF(AE58="","",IF('Part Building ccASHP Worksheet'!$O$12="","",'Part Building ccASHP Worksheet'!$O$12))</f>
        <v/>
      </c>
      <c r="C58" s="428" t="str">
        <f>IF(M58="","",'Part Building ccASHP Worksheet'!S40)</f>
        <v/>
      </c>
      <c r="D58" s="428" t="str">
        <f>IF(M58="","",'Part Building ccASHP Worksheet'!T40)</f>
        <v/>
      </c>
      <c r="E58" s="433" t="str">
        <f>IF(M58="","",IF(OR(D58='HVAC References'!$B$220,D58='HVAC References'!$B$221),"NC",IF(AND(AND(LEFT(C58,5)&lt;&gt;"Split",LEFT(C58,6)&lt;&gt;"Single"),D58="Oil"),"OC","AO")))</f>
        <v/>
      </c>
      <c r="F58" s="428" t="str">
        <f>IF(M58="","",IF('Part Building ccASHP Worksheet'!V40="",INDEX('HVAC References'!$G$215:$K$217,MATCH($E58,'HVAC References'!$G$215:$G$217,0),3),'Part Building ccASHP Worksheet'!V40))</f>
        <v/>
      </c>
      <c r="G58" s="428" t="str">
        <f>IF(M58="","",IF('Part Building ccASHP Worksheet'!W40="",INDEX('HVAC References'!$G$215:$K$217,MATCH($E58,'HVAC References'!$G$215:$G$217,0),2),'Part Building ccASHP Worksheet'!W40))</f>
        <v/>
      </c>
      <c r="H58" s="428" t="str">
        <f>IF(M58="","",INDEX('HVAC References'!$G$215:$K$217,MATCH($E58,'HVAC References'!$G$215:$G$217,0),4))</f>
        <v/>
      </c>
      <c r="I58" s="428" t="str" cm="1">
        <f t="array" ref="I58">IF(M58="","",IF('Part Building ccASHP Worksheet'!Z40="",INDEX('HVAC References'!$B$215:$E$221,MATCH(D58,'HVAC References'!$B$215:$B$221,0),IF(E58='HVAC References'!$D$214,3,IF(E58='HVAC References'!$E$214,4,IF(E58='HVAC References'!$C$214,2)))),'Part Building ccASHP Worksheet'!Z40))</f>
        <v/>
      </c>
      <c r="J58" s="436">
        <f>IF(D58='HVAC References'!$F$4,0,1)</f>
        <v>1</v>
      </c>
      <c r="K58" s="436">
        <f>IF(D58='HVAC References'!$F$4,1,0)</f>
        <v>0</v>
      </c>
      <c r="M58" s="581" t="str">
        <f>IF('Part Building ccASHP Worksheet'!B40="","",'Part Building ccASHP Worksheet'!B40)</f>
        <v/>
      </c>
      <c r="N58" s="428" t="str">
        <f>IF(M58="","",'Part Building ccASHP Worksheet'!F40)</f>
        <v/>
      </c>
      <c r="O58" s="428" t="str">
        <f>IF(M58="","",'Part Building ccASHP Worksheet'!G40)</f>
        <v/>
      </c>
      <c r="P58" s="428" t="str">
        <f>IF(M58="","",'Part Building ccASHP Worksheet'!I40)</f>
        <v/>
      </c>
      <c r="Q58" s="428" t="str">
        <f>IF(M58="","",'Part Building ccASHP Worksheet'!H40)</f>
        <v/>
      </c>
      <c r="R58" s="428" t="str">
        <f>IF(M58="","",'Part Building ccASHP Worksheet'!J40)</f>
        <v/>
      </c>
      <c r="S58" s="428" t="str">
        <f>IF($M58="","",INDEX('HVAC References'!$T$230:$V$243,MATCH(B58,'HVAC References'!$T$230:$T$243,0),2))</f>
        <v/>
      </c>
      <c r="T58" s="428" t="str">
        <f>IF($M58="","",INDEX('HVAC References'!$T$230:$V$243,MATCH(B58,'HVAC References'!$T$230:$T$243,0),3))</f>
        <v/>
      </c>
      <c r="V58" s="581" t="str">
        <f t="shared" si="19"/>
        <v xml:space="preserve"> </v>
      </c>
      <c r="W58" s="581" t="str">
        <f>IF($M58="","",'Part Building ccASHP Worksheet'!L40)</f>
        <v/>
      </c>
      <c r="X58" s="581" t="str">
        <f>IF($M58="","",'Part Building ccASHP Worksheet'!M40)</f>
        <v/>
      </c>
      <c r="Y58" s="581" t="str">
        <f>IF($M58="","",'Part Building ccASHP Worksheet'!$B$14)</f>
        <v/>
      </c>
      <c r="Z58" s="581" t="str">
        <f>IF(M58="","",X58*'HVAC References'!$D$209)</f>
        <v/>
      </c>
      <c r="AA58" s="581" t="str">
        <f>IF(M58="","",X58*'HVAC References'!$D$210)</f>
        <v/>
      </c>
      <c r="AB58" s="581" t="str">
        <f t="shared" si="20"/>
        <v>Fail</v>
      </c>
      <c r="AC58" s="581" t="str">
        <f t="shared" si="21"/>
        <v>Fail</v>
      </c>
      <c r="AD58" s="581" t="str">
        <f t="shared" si="22"/>
        <v>Fail</v>
      </c>
      <c r="AE58" s="581" t="str">
        <f>IF(AD58="Fail","",INDEX('HVAC References'!$N$215:$R$223,MATCH(V58,'HVAC References'!$N$215:$N$223,0),2))</f>
        <v/>
      </c>
      <c r="AG58" s="581" t="str">
        <f>IF(AE58="","",INDEX('HVAC References'!$F$209:$H$211,MATCH(M58,'HVAC References'!$F$209:$F$211,0),3))</f>
        <v/>
      </c>
      <c r="AH58" s="581" t="str">
        <f>IF(AG58="","",'HVAC References'!$K$236)</f>
        <v/>
      </c>
      <c r="AI58" s="581" t="str">
        <f>IF($AG58="","",INDEX('HVAC References'!$L$230:$R$248,MATCH($AG58,'HVAC References'!$L$230:$L$248,0),2))</f>
        <v/>
      </c>
      <c r="AJ58" s="581" t="str">
        <f>IF($AG58="","",INDEX('HVAC References'!$L$230:$R$248,MATCH($AG58,'HVAC References'!$L$230:$L$248,0),3))</f>
        <v/>
      </c>
      <c r="AK58" s="581" t="str">
        <f>IF($AG58="","",INDEX('HVAC References'!$L$230:$R$248,MATCH($AG58,'HVAC References'!$L$230:$L$248,0),4))</f>
        <v/>
      </c>
      <c r="AL58" s="581" t="str">
        <f>IF($AG58="","",INDEX('HVAC References'!$L$230:$R$248,MATCH($AG58,'HVAC References'!$L$230:$L$248,0),5))</f>
        <v/>
      </c>
      <c r="AM58" s="581" t="str">
        <f>IF(OR(AG58="",E58&lt;&gt;"AO"),"",INDEX('HVAC References'!$G$215:$K$217,MATCH($E58,'HVAC References'!$G$215:$G$217,0),5))</f>
        <v/>
      </c>
      <c r="AN58" s="581" t="str">
        <f>IF($AG58="","",INDEX('HVAC References'!$L$230:$R$248,MATCH($AG58,'HVAC References'!$L$230:$L$248,0),6))</f>
        <v/>
      </c>
      <c r="AO58" s="581" t="str">
        <f>IF($AG58="","",INDEX('HVAC References'!$L$230:$R$248,MATCH($AG58,'HVAC References'!$L$230:$L$248,0),7))</f>
        <v/>
      </c>
      <c r="AP58" s="581" t="str">
        <f t="shared" si="23"/>
        <v/>
      </c>
      <c r="AQ58" s="581" t="str">
        <f t="shared" si="24"/>
        <v/>
      </c>
      <c r="AR58" s="581" t="str">
        <f t="shared" si="25"/>
        <v/>
      </c>
      <c r="AS58" s="581" t="str">
        <f t="shared" si="26"/>
        <v/>
      </c>
      <c r="AU58" s="581" t="str">
        <f t="shared" si="27"/>
        <v/>
      </c>
      <c r="AV58" s="581" t="str">
        <f t="shared" si="28"/>
        <v/>
      </c>
      <c r="AW58" s="581" t="str">
        <f t="shared" si="29"/>
        <v/>
      </c>
      <c r="AX58" s="581" t="str">
        <f t="shared" si="30"/>
        <v/>
      </c>
      <c r="AY58" s="581" t="str">
        <f t="shared" si="31"/>
        <v/>
      </c>
      <c r="AZ58" s="581" t="str">
        <f t="shared" si="32"/>
        <v/>
      </c>
      <c r="BA58" s="581" t="str">
        <f>IF(AE58="","",AX58*'HVAC References'!$H$12)</f>
        <v/>
      </c>
      <c r="BB58" s="581" t="str">
        <f>IF(AE58="","",IF(J58=1,X58*((1/I58)*T58*AN58*(1/1000000))-(AY58*'HVAC References'!$H$12),0))</f>
        <v/>
      </c>
      <c r="BC58" s="581" t="str">
        <f t="shared" si="33"/>
        <v/>
      </c>
      <c r="BE58" s="581" t="str">
        <f>'Part Building ccASHP Worksheet'!Q40</f>
        <v/>
      </c>
      <c r="BF58" s="581">
        <f>IF(AE58="",0,IF('HVAC References'!$K$12="Yes",'HVAC References'!$H$221,'HVAC References'!$H$220))</f>
        <v>0</v>
      </c>
      <c r="BG58" s="581">
        <f t="shared" si="34"/>
        <v>0</v>
      </c>
      <c r="BH58" s="1264"/>
    </row>
    <row r="59" spans="1:60" x14ac:dyDescent="0.25">
      <c r="A59" s="429">
        <v>23</v>
      </c>
      <c r="B59" s="428" t="str">
        <f>IF(AE59="","",IF('Part Building ccASHP Worksheet'!$O$12="","",'Part Building ccASHP Worksheet'!$O$12))</f>
        <v/>
      </c>
      <c r="C59" s="428" t="str">
        <f>IF(M59="","",'Part Building ccASHP Worksheet'!S41)</f>
        <v/>
      </c>
      <c r="D59" s="428" t="str">
        <f>IF(M59="","",'Part Building ccASHP Worksheet'!T41)</f>
        <v/>
      </c>
      <c r="E59" s="433" t="str">
        <f>IF(M59="","",IF(OR(D59='HVAC References'!$B$220,D59='HVAC References'!$B$221),"NC",IF(AND(AND(LEFT(C59,5)&lt;&gt;"Split",LEFT(C59,6)&lt;&gt;"Single"),D59="Oil"),"OC","AO")))</f>
        <v/>
      </c>
      <c r="F59" s="428" t="str">
        <f>IF(M59="","",IF('Part Building ccASHP Worksheet'!V41="",INDEX('HVAC References'!$G$215:$K$217,MATCH($E59,'HVAC References'!$G$215:$G$217,0),3),'Part Building ccASHP Worksheet'!V41))</f>
        <v/>
      </c>
      <c r="G59" s="428" t="str">
        <f>IF(M59="","",IF('Part Building ccASHP Worksheet'!W41="",INDEX('HVAC References'!$G$215:$K$217,MATCH($E59,'HVAC References'!$G$215:$G$217,0),2),'Part Building ccASHP Worksheet'!W41))</f>
        <v/>
      </c>
      <c r="H59" s="428" t="str">
        <f>IF(M59="","",INDEX('HVAC References'!$G$215:$K$217,MATCH($E59,'HVAC References'!$G$215:$G$217,0),4))</f>
        <v/>
      </c>
      <c r="I59" s="428" t="str" cm="1">
        <f t="array" ref="I59">IF(M59="","",IF('Part Building ccASHP Worksheet'!Z41="",INDEX('HVAC References'!$B$215:$E$221,MATCH(D59,'HVAC References'!$B$215:$B$221,0),IF(E59='HVAC References'!$D$214,3,IF(E59='HVAC References'!$E$214,4,IF(E59='HVAC References'!$C$214,2)))),'Part Building ccASHP Worksheet'!Z41))</f>
        <v/>
      </c>
      <c r="J59" s="436">
        <f>IF(D59='HVAC References'!$F$4,0,1)</f>
        <v>1</v>
      </c>
      <c r="K59" s="436">
        <f>IF(D59='HVAC References'!$F$4,1,0)</f>
        <v>0</v>
      </c>
      <c r="M59" s="581" t="str">
        <f>IF('Part Building ccASHP Worksheet'!B41="","",'Part Building ccASHP Worksheet'!B41)</f>
        <v/>
      </c>
      <c r="N59" s="428" t="str">
        <f>IF(M59="","",'Part Building ccASHP Worksheet'!F41)</f>
        <v/>
      </c>
      <c r="O59" s="428" t="str">
        <f>IF(M59="","",'Part Building ccASHP Worksheet'!G41)</f>
        <v/>
      </c>
      <c r="P59" s="428" t="str">
        <f>IF(M59="","",'Part Building ccASHP Worksheet'!I41)</f>
        <v/>
      </c>
      <c r="Q59" s="428" t="str">
        <f>IF(M59="","",'Part Building ccASHP Worksheet'!H41)</f>
        <v/>
      </c>
      <c r="R59" s="428" t="str">
        <f>IF(M59="","",'Part Building ccASHP Worksheet'!J41)</f>
        <v/>
      </c>
      <c r="S59" s="428" t="str">
        <f>IF($M59="","",INDEX('HVAC References'!$T$230:$V$243,MATCH(B59,'HVAC References'!$T$230:$T$243,0),2))</f>
        <v/>
      </c>
      <c r="T59" s="428" t="str">
        <f>IF($M59="","",INDEX('HVAC References'!$T$230:$V$243,MATCH(B59,'HVAC References'!$T$230:$T$243,0),3))</f>
        <v/>
      </c>
      <c r="V59" s="581" t="str">
        <f t="shared" si="19"/>
        <v xml:space="preserve"> </v>
      </c>
      <c r="W59" s="581" t="str">
        <f>IF($M59="","",'Part Building ccASHP Worksheet'!L41)</f>
        <v/>
      </c>
      <c r="X59" s="581" t="str">
        <f>IF($M59="","",'Part Building ccASHP Worksheet'!M41)</f>
        <v/>
      </c>
      <c r="Y59" s="581" t="str">
        <f>IF($M59="","",'Part Building ccASHP Worksheet'!$B$14)</f>
        <v/>
      </c>
      <c r="Z59" s="581" t="str">
        <f>IF(M59="","",X59*'HVAC References'!$D$209)</f>
        <v/>
      </c>
      <c r="AA59" s="581" t="str">
        <f>IF(M59="","",X59*'HVAC References'!$D$210)</f>
        <v/>
      </c>
      <c r="AB59" s="581" t="str">
        <f t="shared" si="20"/>
        <v>Fail</v>
      </c>
      <c r="AC59" s="581" t="str">
        <f t="shared" si="21"/>
        <v>Fail</v>
      </c>
      <c r="AD59" s="581" t="str">
        <f t="shared" si="22"/>
        <v>Fail</v>
      </c>
      <c r="AE59" s="581" t="str">
        <f>IF(AD59="Fail","",INDEX('HVAC References'!$N$215:$R$223,MATCH(V59,'HVAC References'!$N$215:$N$223,0),2))</f>
        <v/>
      </c>
      <c r="AG59" s="581" t="str">
        <f>IF(AE59="","",INDEX('HVAC References'!$F$209:$H$211,MATCH(M59,'HVAC References'!$F$209:$F$211,0),3))</f>
        <v/>
      </c>
      <c r="AH59" s="581" t="str">
        <f>IF(AG59="","",'HVAC References'!$K$236)</f>
        <v/>
      </c>
      <c r="AI59" s="581" t="str">
        <f>IF($AG59="","",INDEX('HVAC References'!$L$230:$R$248,MATCH($AG59,'HVAC References'!$L$230:$L$248,0),2))</f>
        <v/>
      </c>
      <c r="AJ59" s="581" t="str">
        <f>IF($AG59="","",INDEX('HVAC References'!$L$230:$R$248,MATCH($AG59,'HVAC References'!$L$230:$L$248,0),3))</f>
        <v/>
      </c>
      <c r="AK59" s="581" t="str">
        <f>IF($AG59="","",INDEX('HVAC References'!$L$230:$R$248,MATCH($AG59,'HVAC References'!$L$230:$L$248,0),4))</f>
        <v/>
      </c>
      <c r="AL59" s="581" t="str">
        <f>IF($AG59="","",INDEX('HVAC References'!$L$230:$R$248,MATCH($AG59,'HVAC References'!$L$230:$L$248,0),5))</f>
        <v/>
      </c>
      <c r="AM59" s="581" t="str">
        <f>IF(OR(AG59="",E59&lt;&gt;"AO"),"",INDEX('HVAC References'!$G$215:$K$217,MATCH($E59,'HVAC References'!$G$215:$G$217,0),5))</f>
        <v/>
      </c>
      <c r="AN59" s="581" t="str">
        <f>IF($AG59="","",INDEX('HVAC References'!$L$230:$R$248,MATCH($AG59,'HVAC References'!$L$230:$L$248,0),6))</f>
        <v/>
      </c>
      <c r="AO59" s="581" t="str">
        <f>IF($AG59="","",INDEX('HVAC References'!$L$230:$R$248,MATCH($AG59,'HVAC References'!$L$230:$L$248,0),7))</f>
        <v/>
      </c>
      <c r="AP59" s="581" t="str">
        <f t="shared" si="23"/>
        <v/>
      </c>
      <c r="AQ59" s="581" t="str">
        <f t="shared" si="24"/>
        <v/>
      </c>
      <c r="AR59" s="581" t="str">
        <f t="shared" si="25"/>
        <v/>
      </c>
      <c r="AS59" s="581" t="str">
        <f t="shared" si="26"/>
        <v/>
      </c>
      <c r="AU59" s="581" t="str">
        <f t="shared" si="27"/>
        <v/>
      </c>
      <c r="AV59" s="581" t="str">
        <f t="shared" si="28"/>
        <v/>
      </c>
      <c r="AW59" s="581" t="str">
        <f t="shared" si="29"/>
        <v/>
      </c>
      <c r="AX59" s="581" t="str">
        <f t="shared" si="30"/>
        <v/>
      </c>
      <c r="AY59" s="581" t="str">
        <f t="shared" si="31"/>
        <v/>
      </c>
      <c r="AZ59" s="581" t="str">
        <f t="shared" si="32"/>
        <v/>
      </c>
      <c r="BA59" s="581" t="str">
        <f>IF(AE59="","",AX59*'HVAC References'!$H$12)</f>
        <v/>
      </c>
      <c r="BB59" s="581" t="str">
        <f>IF(AE59="","",IF(J59=1,X59*((1/I59)*T59*AN59*(1/1000000))-(AY59*'HVAC References'!$H$12),0))</f>
        <v/>
      </c>
      <c r="BC59" s="581" t="str">
        <f t="shared" si="33"/>
        <v/>
      </c>
      <c r="BE59" s="581" t="str">
        <f>'Part Building ccASHP Worksheet'!Q41</f>
        <v/>
      </c>
      <c r="BF59" s="581">
        <f>IF(AE59="",0,IF('HVAC References'!$K$12="Yes",'HVAC References'!$H$221,'HVAC References'!$H$220))</f>
        <v>0</v>
      </c>
      <c r="BG59" s="581">
        <f t="shared" si="34"/>
        <v>0</v>
      </c>
      <c r="BH59" s="1264"/>
    </row>
    <row r="60" spans="1:60" x14ac:dyDescent="0.25">
      <c r="A60" s="429">
        <v>24</v>
      </c>
      <c r="B60" s="428" t="str">
        <f>IF(AE60="","",IF('Part Building ccASHP Worksheet'!$O$12="","",'Part Building ccASHP Worksheet'!$O$12))</f>
        <v/>
      </c>
      <c r="C60" s="428" t="str">
        <f>IF(M60="","",'Part Building ccASHP Worksheet'!S42)</f>
        <v/>
      </c>
      <c r="D60" s="428" t="str">
        <f>IF(M60="","",'Part Building ccASHP Worksheet'!T42)</f>
        <v/>
      </c>
      <c r="E60" s="433" t="str">
        <f>IF(M60="","",IF(OR(D60='HVAC References'!$B$220,D60='HVAC References'!$B$221),"NC",IF(AND(AND(LEFT(C60,5)&lt;&gt;"Split",LEFT(C60,6)&lt;&gt;"Single"),D60="Oil"),"OC","AO")))</f>
        <v/>
      </c>
      <c r="F60" s="428" t="str">
        <f>IF(M60="","",IF('Part Building ccASHP Worksheet'!V42="",INDEX('HVAC References'!$G$215:$K$217,MATCH($E60,'HVAC References'!$G$215:$G$217,0),3),'Part Building ccASHP Worksheet'!V42))</f>
        <v/>
      </c>
      <c r="G60" s="428" t="str">
        <f>IF(M60="","",IF('Part Building ccASHP Worksheet'!W42="",INDEX('HVAC References'!$G$215:$K$217,MATCH($E60,'HVAC References'!$G$215:$G$217,0),2),'Part Building ccASHP Worksheet'!W42))</f>
        <v/>
      </c>
      <c r="H60" s="428" t="str">
        <f>IF(M60="","",INDEX('HVAC References'!$G$215:$K$217,MATCH($E60,'HVAC References'!$G$215:$G$217,0),4))</f>
        <v/>
      </c>
      <c r="I60" s="428" t="str" cm="1">
        <f t="array" ref="I60">IF(M60="","",IF('Part Building ccASHP Worksheet'!Z42="",INDEX('HVAC References'!$B$215:$E$221,MATCH(D60,'HVAC References'!$B$215:$B$221,0),IF(E60='HVAC References'!$D$214,3,IF(E60='HVAC References'!$E$214,4,IF(E60='HVAC References'!$C$214,2)))),'Part Building ccASHP Worksheet'!Z42))</f>
        <v/>
      </c>
      <c r="J60" s="436">
        <f>IF(D60='HVAC References'!$F$4,0,1)</f>
        <v>1</v>
      </c>
      <c r="K60" s="436">
        <f>IF(D60='HVAC References'!$F$4,1,0)</f>
        <v>0</v>
      </c>
      <c r="M60" s="581" t="str">
        <f>IF('Part Building ccASHP Worksheet'!B42="","",'Part Building ccASHP Worksheet'!B42)</f>
        <v/>
      </c>
      <c r="N60" s="428" t="str">
        <f>IF(M60="","",'Part Building ccASHP Worksheet'!F42)</f>
        <v/>
      </c>
      <c r="O60" s="428" t="str">
        <f>IF(M60="","",'Part Building ccASHP Worksheet'!G42)</f>
        <v/>
      </c>
      <c r="P60" s="428" t="str">
        <f>IF(M60="","",'Part Building ccASHP Worksheet'!I42)</f>
        <v/>
      </c>
      <c r="Q60" s="428" t="str">
        <f>IF(M60="","",'Part Building ccASHP Worksheet'!H42)</f>
        <v/>
      </c>
      <c r="R60" s="428" t="str">
        <f>IF(M60="","",'Part Building ccASHP Worksheet'!J42)</f>
        <v/>
      </c>
      <c r="S60" s="428" t="str">
        <f>IF($M60="","",INDEX('HVAC References'!$T$230:$V$243,MATCH(B60,'HVAC References'!$T$230:$T$243,0),2))</f>
        <v/>
      </c>
      <c r="T60" s="428" t="str">
        <f>IF($M60="","",INDEX('HVAC References'!$T$230:$V$243,MATCH(B60,'HVAC References'!$T$230:$T$243,0),3))</f>
        <v/>
      </c>
      <c r="V60" s="581" t="str">
        <f t="shared" si="19"/>
        <v xml:space="preserve"> </v>
      </c>
      <c r="W60" s="581" t="str">
        <f>IF($M60="","",'Part Building ccASHP Worksheet'!L42)</f>
        <v/>
      </c>
      <c r="X60" s="581" t="str">
        <f>IF($M60="","",'Part Building ccASHP Worksheet'!M42)</f>
        <v/>
      </c>
      <c r="Y60" s="581" t="str">
        <f>IF($M60="","",'Part Building ccASHP Worksheet'!$B$14)</f>
        <v/>
      </c>
      <c r="Z60" s="581" t="str">
        <f>IF(M60="","",X60*'HVAC References'!$D$209)</f>
        <v/>
      </c>
      <c r="AA60" s="581" t="str">
        <f>IF(M60="","",X60*'HVAC References'!$D$210)</f>
        <v/>
      </c>
      <c r="AB60" s="581" t="str">
        <f t="shared" si="20"/>
        <v>Fail</v>
      </c>
      <c r="AC60" s="581" t="str">
        <f t="shared" si="21"/>
        <v>Fail</v>
      </c>
      <c r="AD60" s="581" t="str">
        <f t="shared" si="22"/>
        <v>Fail</v>
      </c>
      <c r="AE60" s="581" t="str">
        <f>IF(AD60="Fail","",INDEX('HVAC References'!$N$215:$R$223,MATCH(V60,'HVAC References'!$N$215:$N$223,0),2))</f>
        <v/>
      </c>
      <c r="AG60" s="581" t="str">
        <f>IF(AE60="","",INDEX('HVAC References'!$F$209:$H$211,MATCH(M60,'HVAC References'!$F$209:$F$211,0),3))</f>
        <v/>
      </c>
      <c r="AH60" s="581" t="str">
        <f>IF(AG60="","",'HVAC References'!$K$236)</f>
        <v/>
      </c>
      <c r="AI60" s="581" t="str">
        <f>IF($AG60="","",INDEX('HVAC References'!$L$230:$R$248,MATCH($AG60,'HVAC References'!$L$230:$L$248,0),2))</f>
        <v/>
      </c>
      <c r="AJ60" s="581" t="str">
        <f>IF($AG60="","",INDEX('HVAC References'!$L$230:$R$248,MATCH($AG60,'HVAC References'!$L$230:$L$248,0),3))</f>
        <v/>
      </c>
      <c r="AK60" s="581" t="str">
        <f>IF($AG60="","",INDEX('HVAC References'!$L$230:$R$248,MATCH($AG60,'HVAC References'!$L$230:$L$248,0),4))</f>
        <v/>
      </c>
      <c r="AL60" s="581" t="str">
        <f>IF($AG60="","",INDEX('HVAC References'!$L$230:$R$248,MATCH($AG60,'HVAC References'!$L$230:$L$248,0),5))</f>
        <v/>
      </c>
      <c r="AM60" s="581" t="str">
        <f>IF(OR(AG60="",E60&lt;&gt;"AO"),"",INDEX('HVAC References'!$G$215:$K$217,MATCH($E60,'HVAC References'!$G$215:$G$217,0),5))</f>
        <v/>
      </c>
      <c r="AN60" s="581" t="str">
        <f>IF($AG60="","",INDEX('HVAC References'!$L$230:$R$248,MATCH($AG60,'HVAC References'!$L$230:$L$248,0),6))</f>
        <v/>
      </c>
      <c r="AO60" s="581" t="str">
        <f>IF($AG60="","",INDEX('HVAC References'!$L$230:$R$248,MATCH($AG60,'HVAC References'!$L$230:$L$248,0),7))</f>
        <v/>
      </c>
      <c r="AP60" s="581" t="str">
        <f t="shared" si="23"/>
        <v/>
      </c>
      <c r="AQ60" s="581" t="str">
        <f t="shared" si="24"/>
        <v/>
      </c>
      <c r="AR60" s="581" t="str">
        <f t="shared" si="25"/>
        <v/>
      </c>
      <c r="AS60" s="581" t="str">
        <f t="shared" si="26"/>
        <v/>
      </c>
      <c r="AU60" s="581" t="str">
        <f t="shared" si="27"/>
        <v/>
      </c>
      <c r="AV60" s="581" t="str">
        <f t="shared" si="28"/>
        <v/>
      </c>
      <c r="AW60" s="581" t="str">
        <f t="shared" si="29"/>
        <v/>
      </c>
      <c r="AX60" s="581" t="str">
        <f t="shared" si="30"/>
        <v/>
      </c>
      <c r="AY60" s="581" t="str">
        <f t="shared" si="31"/>
        <v/>
      </c>
      <c r="AZ60" s="581" t="str">
        <f t="shared" si="32"/>
        <v/>
      </c>
      <c r="BA60" s="581" t="str">
        <f>IF(AE60="","",AX60*'HVAC References'!$H$12)</f>
        <v/>
      </c>
      <c r="BB60" s="581" t="str">
        <f>IF(AE60="","",IF(J60=1,X60*((1/I60)*T60*AN60*(1/1000000))-(AY60*'HVAC References'!$H$12),0))</f>
        <v/>
      </c>
      <c r="BC60" s="581" t="str">
        <f t="shared" si="33"/>
        <v/>
      </c>
      <c r="BE60" s="581" t="str">
        <f>'Part Building ccASHP Worksheet'!Q42</f>
        <v/>
      </c>
      <c r="BF60" s="581">
        <f>IF(AE60="",0,IF('HVAC References'!$K$12="Yes",'HVAC References'!$H$221,'HVAC References'!$H$220))</f>
        <v>0</v>
      </c>
      <c r="BG60" s="581">
        <f t="shared" si="34"/>
        <v>0</v>
      </c>
      <c r="BH60" s="1264"/>
    </row>
    <row r="61" spans="1:60" ht="15.75" thickBot="1" x14ac:dyDescent="0.3">
      <c r="A61" s="430">
        <v>25</v>
      </c>
      <c r="B61" s="431" t="str">
        <f>IF(AE61="","",IF('Part Building ccASHP Worksheet'!$O$12="","",'Part Building ccASHP Worksheet'!$O$12))</f>
        <v/>
      </c>
      <c r="C61" s="431" t="str">
        <f>IF(M61="","",'Part Building ccASHP Worksheet'!S43)</f>
        <v/>
      </c>
      <c r="D61" s="431" t="str">
        <f>IF(M61="","",'Part Building ccASHP Worksheet'!T43)</f>
        <v/>
      </c>
      <c r="E61" s="439" t="str">
        <f>IF(M61="","",IF(OR(D61='HVAC References'!$B$220,D61='HVAC References'!$B$221),"NC",IF(AND(AND(LEFT(C61,5)&lt;&gt;"Split",LEFT(C61,6)&lt;&gt;"Single"),D61="Oil"),"OC","AO")))</f>
        <v/>
      </c>
      <c r="F61" s="431" t="str">
        <f>IF(M61="","",IF('Part Building ccASHP Worksheet'!V43="",INDEX('HVAC References'!$G$215:$K$217,MATCH($E61,'HVAC References'!$G$215:$G$217,0),3),'Part Building ccASHP Worksheet'!V43))</f>
        <v/>
      </c>
      <c r="G61" s="431" t="str">
        <f>IF(M61="","",IF('Part Building ccASHP Worksheet'!W43="",INDEX('HVAC References'!$G$215:$K$217,MATCH($E61,'HVAC References'!$G$215:$G$217,0),2),'Part Building ccASHP Worksheet'!W43))</f>
        <v/>
      </c>
      <c r="H61" s="431" t="str">
        <f>IF(M61="","",INDEX('HVAC References'!$G$215:$K$217,MATCH($E61,'HVAC References'!$G$215:$G$217,0),4))</f>
        <v/>
      </c>
      <c r="I61" s="431" t="str" cm="1">
        <f t="array" ref="I61">IF(M61="","",IF('Part Building ccASHP Worksheet'!Z43="",INDEX('HVAC References'!$B$215:$E$221,MATCH(D61,'HVAC References'!$B$215:$B$221,0),IF(E61='HVAC References'!$D$214,3,IF(E61='HVAC References'!$E$214,4,IF(E61='HVAC References'!$C$214,2)))),'Part Building ccASHP Worksheet'!Z43))</f>
        <v/>
      </c>
      <c r="J61" s="578">
        <f>IF(D61='HVAC References'!$F$4,0,1)</f>
        <v>1</v>
      </c>
      <c r="K61" s="578">
        <f>IF(D61='HVAC References'!$F$4,1,0)</f>
        <v>0</v>
      </c>
      <c r="M61" s="582" t="str">
        <f>IF('Part Building ccASHP Worksheet'!B43="","",'Part Building ccASHP Worksheet'!B43)</f>
        <v/>
      </c>
      <c r="N61" s="431" t="str">
        <f>IF(M61="","",'Part Building ccASHP Worksheet'!F43)</f>
        <v/>
      </c>
      <c r="O61" s="431" t="str">
        <f>IF(M61="","",'Part Building ccASHP Worksheet'!G43)</f>
        <v/>
      </c>
      <c r="P61" s="431" t="str">
        <f>IF(M61="","",'Part Building ccASHP Worksheet'!I43)</f>
        <v/>
      </c>
      <c r="Q61" s="431" t="str">
        <f>IF(M61="","",'Part Building ccASHP Worksheet'!H43)</f>
        <v/>
      </c>
      <c r="R61" s="431" t="str">
        <f>IF(M61="","",'Part Building ccASHP Worksheet'!J43)</f>
        <v/>
      </c>
      <c r="S61" s="431" t="str">
        <f>IF($M61="","",INDEX('HVAC References'!$T$230:$V$243,MATCH(B61,'HVAC References'!$T$230:$T$243,0),2))</f>
        <v/>
      </c>
      <c r="T61" s="431" t="str">
        <f>IF($M61="","",INDEX('HVAC References'!$T$230:$V$243,MATCH(B61,'HVAC References'!$T$230:$T$243,0),3))</f>
        <v/>
      </c>
      <c r="V61" s="582" t="str">
        <f t="shared" si="19"/>
        <v xml:space="preserve"> </v>
      </c>
      <c r="W61" s="582" t="str">
        <f>IF($M61="","",'Part Building ccASHP Worksheet'!L43)</f>
        <v/>
      </c>
      <c r="X61" s="582" t="str">
        <f>IF($M61="","",'Part Building ccASHP Worksheet'!M43)</f>
        <v/>
      </c>
      <c r="Y61" s="582" t="str">
        <f>IF($M61="","",'Part Building ccASHP Worksheet'!$B$14)</f>
        <v/>
      </c>
      <c r="Z61" s="582" t="str">
        <f>IF(M61="","",X61*'HVAC References'!$D$209)</f>
        <v/>
      </c>
      <c r="AA61" s="582" t="str">
        <f>IF(M61="","",X61*'HVAC References'!$D$210)</f>
        <v/>
      </c>
      <c r="AB61" s="582" t="str">
        <f t="shared" si="20"/>
        <v>Fail</v>
      </c>
      <c r="AC61" s="582" t="str">
        <f t="shared" si="21"/>
        <v>Fail</v>
      </c>
      <c r="AD61" s="582" t="str">
        <f t="shared" si="22"/>
        <v>Fail</v>
      </c>
      <c r="AE61" s="582" t="str">
        <f>IF(AD61="Fail","",INDEX('HVAC References'!$N$215:$R$223,MATCH(V61,'HVAC References'!$N$215:$N$223,0),2))</f>
        <v/>
      </c>
      <c r="AG61" s="582" t="str">
        <f>IF(AE61="","",INDEX('HVAC References'!$F$209:$H$211,MATCH(M61,'HVAC References'!$F$209:$F$211,0),3))</f>
        <v/>
      </c>
      <c r="AH61" s="582" t="str">
        <f>IF(AG61="","",'HVAC References'!$K$236)</f>
        <v/>
      </c>
      <c r="AI61" s="582" t="str">
        <f>IF($AG61="","",INDEX('HVAC References'!$L$230:$R$248,MATCH($AG61,'HVAC References'!$L$230:$L$248,0),2))</f>
        <v/>
      </c>
      <c r="AJ61" s="582" t="str">
        <f>IF($AG61="","",INDEX('HVAC References'!$L$230:$R$248,MATCH($AG61,'HVAC References'!$L$230:$L$248,0),3))</f>
        <v/>
      </c>
      <c r="AK61" s="582" t="str">
        <f>IF($AG61="","",INDEX('HVAC References'!$L$230:$R$248,MATCH($AG61,'HVAC References'!$L$230:$L$248,0),4))</f>
        <v/>
      </c>
      <c r="AL61" s="582" t="str">
        <f>IF($AG61="","",INDEX('HVAC References'!$L$230:$R$248,MATCH($AG61,'HVAC References'!$L$230:$L$248,0),5))</f>
        <v/>
      </c>
      <c r="AM61" s="582" t="str">
        <f>IF(OR(AG61="",E61&lt;&gt;"AO"),"",INDEX('HVAC References'!$G$215:$K$217,MATCH($E61,'HVAC References'!$G$215:$G$217,0),5))</f>
        <v/>
      </c>
      <c r="AN61" s="582" t="str">
        <f>IF($AG61="","",INDEX('HVAC References'!$L$230:$R$248,MATCH($AG61,'HVAC References'!$L$230:$L$248,0),6))</f>
        <v/>
      </c>
      <c r="AO61" s="582" t="str">
        <f>IF($AG61="","",INDEX('HVAC References'!$L$230:$R$248,MATCH($AG61,'HVAC References'!$L$230:$L$248,0),7))</f>
        <v/>
      </c>
      <c r="AP61" s="582" t="str">
        <f t="shared" si="23"/>
        <v/>
      </c>
      <c r="AQ61" s="582" t="str">
        <f t="shared" si="24"/>
        <v/>
      </c>
      <c r="AR61" s="582" t="str">
        <f t="shared" si="25"/>
        <v/>
      </c>
      <c r="AS61" s="582" t="str">
        <f t="shared" si="26"/>
        <v/>
      </c>
      <c r="AU61" s="582" t="str">
        <f t="shared" si="27"/>
        <v/>
      </c>
      <c r="AV61" s="582" t="str">
        <f t="shared" si="28"/>
        <v/>
      </c>
      <c r="AW61" s="582" t="str">
        <f t="shared" si="29"/>
        <v/>
      </c>
      <c r="AX61" s="582" t="str">
        <f t="shared" si="30"/>
        <v/>
      </c>
      <c r="AY61" s="582" t="str">
        <f t="shared" si="31"/>
        <v/>
      </c>
      <c r="AZ61" s="582" t="str">
        <f t="shared" si="32"/>
        <v/>
      </c>
      <c r="BA61" s="582" t="str">
        <f>IF(AE61="","",AX61*'HVAC References'!$H$12)</f>
        <v/>
      </c>
      <c r="BB61" s="582" t="str">
        <f>IF(AE61="","",IF(J61=1,X61*((1/I61)*T61*AN61*(1/1000000))-(AY61*'HVAC References'!$H$12),0))</f>
        <v/>
      </c>
      <c r="BC61" s="582" t="str">
        <f t="shared" si="33"/>
        <v/>
      </c>
      <c r="BE61" s="582" t="str">
        <f>'Part Building ccASHP Worksheet'!Q43</f>
        <v/>
      </c>
      <c r="BF61" s="582">
        <f>IF(AE61="",0,IF('HVAC References'!$K$12="Yes",'HVAC References'!$H$221,'HVAC References'!$H$220))</f>
        <v>0</v>
      </c>
      <c r="BG61" s="582">
        <f t="shared" si="34"/>
        <v>0</v>
      </c>
      <c r="BH61" s="1265"/>
    </row>
    <row r="64" spans="1:60" ht="28.5" x14ac:dyDescent="0.45">
      <c r="A64" s="575" t="s">
        <v>1170</v>
      </c>
    </row>
    <row r="65" spans="1:40" ht="15.75" thickBot="1" x14ac:dyDescent="0.3"/>
    <row r="66" spans="1:40" ht="15.75" thickBot="1" x14ac:dyDescent="0.3">
      <c r="A66" s="1260" t="s">
        <v>1801</v>
      </c>
      <c r="B66" s="1261"/>
      <c r="C66" s="1261"/>
      <c r="D66" s="1261"/>
      <c r="E66" s="1261"/>
      <c r="F66" s="1261"/>
      <c r="G66" s="1261"/>
      <c r="H66" s="1262"/>
      <c r="J66" s="1260" t="s">
        <v>1492</v>
      </c>
      <c r="K66" s="1261"/>
      <c r="L66" s="1261"/>
      <c r="M66" s="1261"/>
      <c r="N66" s="1261"/>
      <c r="O66" s="1261"/>
      <c r="P66" s="1262"/>
      <c r="R66" s="1260" t="s">
        <v>1637</v>
      </c>
      <c r="S66" s="1261"/>
      <c r="T66" s="1261"/>
      <c r="U66" s="1261"/>
      <c r="V66" s="1261"/>
      <c r="W66" s="1262"/>
      <c r="Y66" s="583" t="s">
        <v>1568</v>
      </c>
      <c r="Z66" s="1082"/>
      <c r="AA66" s="1082"/>
      <c r="AB66" s="1082"/>
      <c r="AC66" s="1082"/>
      <c r="AD66" s="1082"/>
      <c r="AE66" s="1082"/>
      <c r="AF66" s="1082"/>
      <c r="AG66" s="1082"/>
      <c r="AH66" s="434"/>
      <c r="AJ66" s="1260" t="s">
        <v>1849</v>
      </c>
      <c r="AK66" s="1261"/>
      <c r="AL66" s="1261"/>
      <c r="AM66" s="1261"/>
      <c r="AN66" s="1262"/>
    </row>
    <row r="67" spans="1:40" ht="18.75" thickBot="1" x14ac:dyDescent="0.4">
      <c r="A67" s="583" t="s">
        <v>1543</v>
      </c>
      <c r="B67" s="408" t="s">
        <v>9</v>
      </c>
      <c r="C67" s="408" t="s">
        <v>1545</v>
      </c>
      <c r="D67" s="408" t="s">
        <v>1193</v>
      </c>
      <c r="E67" s="408" t="s">
        <v>1797</v>
      </c>
      <c r="F67" s="408" t="s">
        <v>1798</v>
      </c>
      <c r="G67" s="408" t="s">
        <v>1799</v>
      </c>
      <c r="H67" s="408" t="s">
        <v>1800</v>
      </c>
      <c r="J67" s="408" t="s">
        <v>1796</v>
      </c>
      <c r="K67" s="408" t="s">
        <v>1165</v>
      </c>
      <c r="L67" s="408" t="s">
        <v>1166</v>
      </c>
      <c r="M67" s="408" t="s">
        <v>1767</v>
      </c>
      <c r="N67" s="408" t="s">
        <v>1768</v>
      </c>
      <c r="O67" s="408" t="s">
        <v>1833</v>
      </c>
      <c r="P67" s="408" t="s">
        <v>1834</v>
      </c>
      <c r="R67" s="408" t="s">
        <v>1802</v>
      </c>
      <c r="S67" s="408" t="s">
        <v>1803</v>
      </c>
      <c r="T67" s="408" t="s">
        <v>1810</v>
      </c>
      <c r="U67" s="408" t="s">
        <v>1804</v>
      </c>
      <c r="V67" s="408" t="s">
        <v>1805</v>
      </c>
      <c r="W67" s="408" t="s">
        <v>1806</v>
      </c>
      <c r="Y67" s="408" t="s">
        <v>1561</v>
      </c>
      <c r="Z67" s="583" t="s">
        <v>1807</v>
      </c>
      <c r="AA67" s="583" t="s">
        <v>1808</v>
      </c>
      <c r="AB67" s="583" t="s">
        <v>1809</v>
      </c>
      <c r="AC67" s="583" t="s">
        <v>1562</v>
      </c>
      <c r="AD67" s="583" t="s">
        <v>1563</v>
      </c>
      <c r="AE67" s="408" t="s">
        <v>1564</v>
      </c>
      <c r="AF67" s="408" t="s">
        <v>1565</v>
      </c>
      <c r="AG67" s="408" t="s">
        <v>1566</v>
      </c>
      <c r="AH67" s="408" t="s">
        <v>1567</v>
      </c>
      <c r="AJ67" s="583" t="s">
        <v>267</v>
      </c>
      <c r="AK67" s="583" t="s">
        <v>1857</v>
      </c>
      <c r="AL67" s="583" t="s">
        <v>1570</v>
      </c>
      <c r="AM67" s="408" t="s">
        <v>1571</v>
      </c>
      <c r="AN67" s="408" t="s">
        <v>1858</v>
      </c>
    </row>
    <row r="68" spans="1:40" x14ac:dyDescent="0.25">
      <c r="A68" s="432">
        <v>1</v>
      </c>
      <c r="B68" s="433" t="str">
        <f>IF(Ventilation!B19="","",Ventilation!B19)</f>
        <v/>
      </c>
      <c r="C68" s="433" t="str">
        <f>IF(Ventilation!O19="","",Ventilation!O19)</f>
        <v/>
      </c>
      <c r="D68" s="433" t="str">
        <f>IF(Ventilation!P19="","",Ventilation!P19)</f>
        <v/>
      </c>
      <c r="E68" s="433" t="str">
        <f>IF(Ventilation!Q19="","",Ventilation!Q19)</f>
        <v/>
      </c>
      <c r="F68" s="433" t="str">
        <f>IF(Ventilation!S19="","",Ventilation!S19)</f>
        <v/>
      </c>
      <c r="G68" s="433" t="str">
        <f>IF(Ventilation!T19="","",Ventilation!T19)</f>
        <v/>
      </c>
      <c r="H68" s="723" t="str">
        <f>IF(Ventilation!U19="","",Ventilation!U19)</f>
        <v/>
      </c>
      <c r="J68" s="437" t="str">
        <f>IF(Ventilation!C19="","",Ventilation!C19)</f>
        <v/>
      </c>
      <c r="K68" s="723" t="str">
        <f>IF(Ventilation!D19="","",Ventilation!D19)</f>
        <v/>
      </c>
      <c r="L68" s="723" t="str">
        <f>IF(Ventilation!E19="","",Ventilation!E19)</f>
        <v/>
      </c>
      <c r="M68" s="433" t="str">
        <f>IF(Ventilation!F19="","",Ventilation!F19)</f>
        <v/>
      </c>
      <c r="N68" s="723" t="str">
        <f>IF(Ventilation!G19="","",Ventilation!G19)</f>
        <v/>
      </c>
      <c r="O68" s="433" t="str">
        <f>IF(Ventilation!H19="","",Ventilation!H19)</f>
        <v/>
      </c>
      <c r="P68" s="433" t="str">
        <f>IF(Ventilation!I19="","",Ventilation!I19)</f>
        <v/>
      </c>
      <c r="R68" s="437" t="str">
        <f>IF(B68="","",'HVAC References'!$C$320)</f>
        <v/>
      </c>
      <c r="S68" s="433" t="str">
        <f>IF(B68="","",IF(B68='HVAC References'!$H$288,'HVAC References'!$C$288,'HVAC References'!$C$319))</f>
        <v/>
      </c>
      <c r="T68" s="433" t="e">
        <f>INDEX('HVAC References'!$B$5:$D$26,MATCH(Ventilation!$F$7,'HVAC References'!$B$5:$B$26,0),2)</f>
        <v>#N/A</v>
      </c>
      <c r="U68" s="433">
        <f>IF(C68="",0,1)</f>
        <v>0</v>
      </c>
      <c r="V68" s="433">
        <f>IF(D68='HVAC References'!$G$288,1,0)</f>
        <v>0</v>
      </c>
      <c r="W68" s="433">
        <f>IF(D68='HVAC References'!$G$288,0,1)</f>
        <v>1</v>
      </c>
      <c r="Y68" s="437" t="str">
        <f>IF(AJ68="","",(AB68/8760+Z68/T68))</f>
        <v/>
      </c>
      <c r="Z68" s="433" t="str">
        <f>IF(AJ68="","",IF(B68='HVAC References'!$B$269,(4.5*J68*'HVAC References'!$C$281*L68)/(1000*F68)*(O68/24)*U68,(1.08*J68*R68*K68/(1000*F68)*O68*U68)))</f>
        <v/>
      </c>
      <c r="AA68" s="433" t="str">
        <f>IF(AJ68="","",IF(V68=0,0,IF(B68='HVAC References'!$B$269,(1.08*J68*S68*K68)/(1000*G68)*O68*V68,(1.08*J68*S68*K68/(1000*G68)*(O68/24)*V68))))</f>
        <v/>
      </c>
      <c r="AB68" s="433" t="str">
        <f t="shared" ref="AB68:AB77" si="35">IF(AJ68="","",((J68/(1000*N68)*(O68/24))-(M68/1000))*24*P68)</f>
        <v/>
      </c>
      <c r="AC68" s="433" t="str">
        <f>IF(AJ68="","",Z68+AA68+AB68)</f>
        <v/>
      </c>
      <c r="AD68" s="433" t="str">
        <f t="shared" ref="AD68:AD77" si="36">IF(C68="","",0)</f>
        <v/>
      </c>
      <c r="AE68" s="433" t="str">
        <f t="shared" ref="AE68:AE77" si="37">IF(AJ68="","",Z68+AA68+AB68-AD68)</f>
        <v/>
      </c>
      <c r="AF68" s="435" t="str">
        <f>IF(AJ68="","",(1.08*J68*S68*K68/1000000*H68)*W68*O68+(AC68*'HVAC References'!$H$12))</f>
        <v/>
      </c>
      <c r="AG68" s="433" t="str">
        <f t="shared" ref="AG68:AG77" si="38">IF(C68="","",0)</f>
        <v/>
      </c>
      <c r="AH68" s="433" t="str">
        <f>IF(AJ68="","",AF68+AG68)</f>
        <v/>
      </c>
      <c r="AJ68" s="437" t="str">
        <f>IF(B68="","",INDEX('HVAC References'!$B$269:$F$271,MATCH(B68,'HVAC References'!$B$269:$B$271,0),2))</f>
        <v/>
      </c>
      <c r="AK68" s="571" t="str">
        <f>Ventilation!M19</f>
        <v/>
      </c>
      <c r="AL68" s="571" t="str">
        <f>IFERROR(IF(OR(B68="",AH68=""),"",IF('HVAC References'!$K$12="Yes",INDEX('HVAC References'!$B$269:$F$271,MATCH(B68,'HVAC References'!$B$269:$B$271,0),4),INDEX('HVAC References'!$B$269:$F$271,MATCH(B68,'HVAC References'!$B$269:$B$271,0),3))),"")</f>
        <v/>
      </c>
      <c r="AM68" s="441" t="str">
        <f>IFERROR(IF(AJ68="","",AL68*(J68/100)),"")</f>
        <v/>
      </c>
      <c r="AN68" s="441" t="str">
        <f>IFERROR(IF(AJ68="","",MIN(AK68*0.7,AL68*(J68/100))),"")</f>
        <v/>
      </c>
    </row>
    <row r="69" spans="1:40" x14ac:dyDescent="0.25">
      <c r="A69" s="429">
        <v>2</v>
      </c>
      <c r="B69" s="428" t="str">
        <f>IF(Ventilation!B20="","",Ventilation!B20)</f>
        <v/>
      </c>
      <c r="C69" s="428" t="str">
        <f>IF(Ventilation!O20="","",Ventilation!O20)</f>
        <v/>
      </c>
      <c r="D69" s="428" t="str">
        <f>IF(Ventilation!P20="","",Ventilation!P20)</f>
        <v/>
      </c>
      <c r="E69" s="428" t="str">
        <f>IF(Ventilation!Q20="","",Ventilation!Q20)</f>
        <v/>
      </c>
      <c r="F69" s="428" t="str">
        <f>IF(Ventilation!S20="","",Ventilation!S20)</f>
        <v/>
      </c>
      <c r="G69" s="428" t="str">
        <f>IF(Ventilation!T20="","",Ventilation!T20)</f>
        <v/>
      </c>
      <c r="H69" s="724" t="str">
        <f>IF(Ventilation!U20="","",Ventilation!U20)</f>
        <v/>
      </c>
      <c r="J69" s="581" t="str">
        <f>IF(Ventilation!C20="","",Ventilation!C20)</f>
        <v/>
      </c>
      <c r="K69" s="724" t="str">
        <f>IF(Ventilation!D20="","",Ventilation!D20)</f>
        <v/>
      </c>
      <c r="L69" s="724" t="str">
        <f>IF(Ventilation!E20="","",Ventilation!E20)</f>
        <v/>
      </c>
      <c r="M69" s="428" t="str">
        <f>IF(Ventilation!F20="","",Ventilation!F20)</f>
        <v/>
      </c>
      <c r="N69" s="724" t="str">
        <f>IF(Ventilation!G20="","",Ventilation!G20)</f>
        <v/>
      </c>
      <c r="O69" s="428" t="str">
        <f>IF(Ventilation!H20="","",Ventilation!H20)</f>
        <v/>
      </c>
      <c r="P69" s="428" t="str">
        <f>IF(Ventilation!I20="","",Ventilation!I20)</f>
        <v/>
      </c>
      <c r="R69" s="581" t="str">
        <f>IF(B69="","",'HVAC References'!$C$320)</f>
        <v/>
      </c>
      <c r="S69" s="428" t="str">
        <f>IF(B69="","",IF(B69='HVAC References'!$H$288,'HVAC References'!$C$288,'HVAC References'!$C$319))</f>
        <v/>
      </c>
      <c r="T69" s="428" t="e">
        <f>INDEX('HVAC References'!$B$5:$D$26,MATCH(Ventilation!$F$7,'HVAC References'!$B$5:$B$26,0),2)</f>
        <v>#N/A</v>
      </c>
      <c r="U69" s="428">
        <f t="shared" ref="U69:U77" si="39">IF(C69="",0,1)</f>
        <v>0</v>
      </c>
      <c r="V69" s="428">
        <f>IF(D69='HVAC References'!$G$288,1,0)</f>
        <v>0</v>
      </c>
      <c r="W69" s="428">
        <f>IF(D69='HVAC References'!$G$288,0,1)</f>
        <v>1</v>
      </c>
      <c r="Y69" s="437" t="str">
        <f>IF(AJ69="","",(AB69/8760+Z69/T69))</f>
        <v/>
      </c>
      <c r="Z69" s="433" t="str">
        <f>IF(AJ69="","",IF(B69='HVAC References'!$B$269,(4.5*J69*'HVAC References'!$C$281*L69)/(1000*F69)*(O69/24)*U69,(1.08*J69*R69*K69/(1000*F69)*O69*U69)))</f>
        <v/>
      </c>
      <c r="AA69" s="433" t="str">
        <f>IF(AJ69="","",IF(V69=0,0,IF(B69='HVAC References'!$B$269,(1.08*J69*S69*K69)/(1000*G69)*O69*V69,(1.08*J69*S69*K69/(1000*G69)*(O69/24)*V69))))</f>
        <v/>
      </c>
      <c r="AB69" s="433" t="str">
        <f t="shared" si="35"/>
        <v/>
      </c>
      <c r="AC69" s="433" t="str">
        <f t="shared" ref="AC69:AC77" si="40">IF(AJ69="","",Z69+AA69+AB69)</f>
        <v/>
      </c>
      <c r="AD69" s="433" t="str">
        <f t="shared" si="36"/>
        <v/>
      </c>
      <c r="AE69" s="433" t="str">
        <f t="shared" si="37"/>
        <v/>
      </c>
      <c r="AF69" s="433" t="str">
        <f>IF(AJ69="","",(1.08*J69*S69*K69/1000000*H69)*W69*O69+(AC69*'HVAC References'!$H$12))</f>
        <v/>
      </c>
      <c r="AG69" s="433" t="str">
        <f t="shared" si="38"/>
        <v/>
      </c>
      <c r="AH69" s="433" t="str">
        <f t="shared" ref="AH69:AH77" si="41">IF(AJ69="","",AF69+AG69)</f>
        <v/>
      </c>
      <c r="AJ69" s="581" t="str">
        <f>IF(B69="","",INDEX('HVAC References'!$B$269:$F$271,MATCH(B69,'HVAC References'!$B$269:$B$271,0),2))</f>
        <v/>
      </c>
      <c r="AK69" s="805" t="str">
        <f>Ventilation!M20</f>
        <v/>
      </c>
      <c r="AL69" s="805" t="str">
        <f>IFERROR(IF(OR(B69="",AH69=""),"",IF('HVAC References'!$K$12="Yes",INDEX('HVAC References'!$B$269:$F$271,MATCH(B69,'HVAC References'!$B$269:$B$271,0),4),INDEX('HVAC References'!$B$269:$F$271,MATCH(B69,'HVAC References'!$B$269:$B$271,0),3))),"")</f>
        <v/>
      </c>
      <c r="AM69" s="806" t="str">
        <f t="shared" ref="AM69:AM77" si="42">IFERROR(IF(AJ69="","",AL69*(J69/100)),"")</f>
        <v/>
      </c>
      <c r="AN69" s="806" t="str">
        <f t="shared" ref="AN69:AN77" si="43">IFERROR(IF(AJ69="","",MIN(AK69*0.7,AL69*(J69/100))),"")</f>
        <v/>
      </c>
    </row>
    <row r="70" spans="1:40" x14ac:dyDescent="0.25">
      <c r="A70" s="429">
        <v>3</v>
      </c>
      <c r="B70" s="428" t="str">
        <f>IF(Ventilation!B21="","",Ventilation!B21)</f>
        <v/>
      </c>
      <c r="C70" s="428" t="str">
        <f>IF(Ventilation!O21="","",Ventilation!O21)</f>
        <v/>
      </c>
      <c r="D70" s="428" t="str">
        <f>IF(Ventilation!P21="","",Ventilation!P21)</f>
        <v/>
      </c>
      <c r="E70" s="428" t="str">
        <f>IF(Ventilation!Q21="","",Ventilation!Q21)</f>
        <v/>
      </c>
      <c r="F70" s="428" t="str">
        <f>IF(Ventilation!S21="","",Ventilation!S21)</f>
        <v/>
      </c>
      <c r="G70" s="428" t="str">
        <f>IF(Ventilation!T21="","",Ventilation!T21)</f>
        <v/>
      </c>
      <c r="H70" s="724" t="str">
        <f>IF(Ventilation!U21="","",Ventilation!U21)</f>
        <v/>
      </c>
      <c r="J70" s="581" t="str">
        <f>IF(Ventilation!C21="","",Ventilation!C21)</f>
        <v/>
      </c>
      <c r="K70" s="724" t="str">
        <f>IF(Ventilation!D21="","",Ventilation!D21)</f>
        <v/>
      </c>
      <c r="L70" s="724" t="str">
        <f>IF(Ventilation!E21="","",Ventilation!E21)</f>
        <v/>
      </c>
      <c r="M70" s="428" t="str">
        <f>IF(Ventilation!F21="","",Ventilation!F21)</f>
        <v/>
      </c>
      <c r="N70" s="724" t="str">
        <f>IF(Ventilation!G21="","",Ventilation!G21)</f>
        <v/>
      </c>
      <c r="O70" s="428" t="str">
        <f>IF(Ventilation!H21="","",Ventilation!H21)</f>
        <v/>
      </c>
      <c r="P70" s="428" t="str">
        <f>IF(Ventilation!I21="","",Ventilation!I21)</f>
        <v/>
      </c>
      <c r="R70" s="581" t="str">
        <f>IF(B70="","",'HVAC References'!$C$320)</f>
        <v/>
      </c>
      <c r="S70" s="428" t="str">
        <f>IF(B70="","",IF(B70='HVAC References'!$H$288,'HVAC References'!$C$288,'HVAC References'!$C$319))</f>
        <v/>
      </c>
      <c r="T70" s="428" t="e">
        <f>INDEX('HVAC References'!$B$5:$D$26,MATCH(Ventilation!$F$7,'HVAC References'!$B$5:$B$26,0),2)</f>
        <v>#N/A</v>
      </c>
      <c r="U70" s="428">
        <f t="shared" si="39"/>
        <v>0</v>
      </c>
      <c r="V70" s="428">
        <f>IF(D70='HVAC References'!$G$288,1,0)</f>
        <v>0</v>
      </c>
      <c r="W70" s="428">
        <f>IF(D70='HVAC References'!$G$288,0,1)</f>
        <v>1</v>
      </c>
      <c r="Y70" s="437" t="str">
        <f t="shared" ref="Y70:Y77" si="44">IF(AJ70="","",(AB70/8760+Z70/T70))</f>
        <v/>
      </c>
      <c r="Z70" s="433" t="str">
        <f>IF(AJ70="","",IF(B70='HVAC References'!$B$269,(4.5*J70*'HVAC References'!$C$281*L70)/(1000*F70)*(O70/24)*U70,(1.08*J70*R70*K70/(1000*F70)*O70*U70)))</f>
        <v/>
      </c>
      <c r="AA70" s="433" t="str">
        <f>IF(AJ70="","",IF(V70=0,0,IF(B70='HVAC References'!$B$269,(1.08*J70*S70*K70)/(1000*G70)*O70*V70,(1.08*J70*S70*K70/(1000*G70)*(O70/24)*V70))))</f>
        <v/>
      </c>
      <c r="AB70" s="433" t="str">
        <f t="shared" si="35"/>
        <v/>
      </c>
      <c r="AC70" s="433" t="str">
        <f t="shared" si="40"/>
        <v/>
      </c>
      <c r="AD70" s="433" t="str">
        <f t="shared" si="36"/>
        <v/>
      </c>
      <c r="AE70" s="433" t="str">
        <f t="shared" si="37"/>
        <v/>
      </c>
      <c r="AF70" s="433" t="str">
        <f>IF(AJ70="","",(1.08*J70*S70*K70/1000000*H70)*W70*O70+(AC70*'HVAC References'!$H$12))</f>
        <v/>
      </c>
      <c r="AG70" s="433" t="str">
        <f t="shared" si="38"/>
        <v/>
      </c>
      <c r="AH70" s="433" t="str">
        <f t="shared" si="41"/>
        <v/>
      </c>
      <c r="AJ70" s="581" t="str">
        <f>IF(B70="","",INDEX('HVAC References'!$B$269:$F$271,MATCH(B70,'HVAC References'!$B$269:$B$271,0),2))</f>
        <v/>
      </c>
      <c r="AK70" s="805" t="str">
        <f>Ventilation!M21</f>
        <v/>
      </c>
      <c r="AL70" s="805" t="str">
        <f>IFERROR(IF(OR(B70="",AH70=""),"",IF('HVAC References'!$K$12="Yes",INDEX('HVAC References'!$B$269:$F$271,MATCH(B70,'HVAC References'!$B$269:$B$271,0),4),INDEX('HVAC References'!$B$269:$F$271,MATCH(B70,'HVAC References'!$B$269:$B$271,0),3))),"")</f>
        <v/>
      </c>
      <c r="AM70" s="806" t="str">
        <f t="shared" si="42"/>
        <v/>
      </c>
      <c r="AN70" s="806" t="str">
        <f t="shared" si="43"/>
        <v/>
      </c>
    </row>
    <row r="71" spans="1:40" x14ac:dyDescent="0.25">
      <c r="A71" s="429">
        <v>4</v>
      </c>
      <c r="B71" s="428" t="str">
        <f>IF(Ventilation!B22="","",Ventilation!B22)</f>
        <v/>
      </c>
      <c r="C71" s="428" t="str">
        <f>IF(Ventilation!O22="","",Ventilation!O22)</f>
        <v/>
      </c>
      <c r="D71" s="428" t="str">
        <f>IF(Ventilation!P22="","",Ventilation!P22)</f>
        <v/>
      </c>
      <c r="E71" s="428" t="str">
        <f>IF(Ventilation!Q22="","",Ventilation!Q22)</f>
        <v/>
      </c>
      <c r="F71" s="428" t="str">
        <f>IF(Ventilation!S22="","",Ventilation!S22)</f>
        <v/>
      </c>
      <c r="G71" s="428" t="str">
        <f>IF(Ventilation!T22="","",Ventilation!T22)</f>
        <v/>
      </c>
      <c r="H71" s="724" t="str">
        <f>IF(Ventilation!U22="","",Ventilation!U22)</f>
        <v/>
      </c>
      <c r="J71" s="581" t="str">
        <f>IF(Ventilation!C22="","",Ventilation!C22)</f>
        <v/>
      </c>
      <c r="K71" s="724" t="str">
        <f>IF(Ventilation!D22="","",Ventilation!D22)</f>
        <v/>
      </c>
      <c r="L71" s="724" t="str">
        <f>IF(Ventilation!E22="","",Ventilation!E22)</f>
        <v/>
      </c>
      <c r="M71" s="428" t="str">
        <f>IF(Ventilation!F22="","",Ventilation!F22)</f>
        <v/>
      </c>
      <c r="N71" s="724" t="str">
        <f>IF(Ventilation!G22="","",Ventilation!G22)</f>
        <v/>
      </c>
      <c r="O71" s="428" t="str">
        <f>IF(Ventilation!H22="","",Ventilation!H22)</f>
        <v/>
      </c>
      <c r="P71" s="428" t="str">
        <f>IF(Ventilation!I22="","",Ventilation!I22)</f>
        <v/>
      </c>
      <c r="R71" s="581" t="str">
        <f>IF(B71="","",'HVAC References'!$C$320)</f>
        <v/>
      </c>
      <c r="S71" s="428" t="str">
        <f>IF(B71="","",IF(B71='HVAC References'!$H$288,'HVAC References'!$C$288,'HVAC References'!$C$319))</f>
        <v/>
      </c>
      <c r="T71" s="428" t="e">
        <f>INDEX('HVAC References'!$B$5:$D$26,MATCH(Ventilation!$F$7,'HVAC References'!$B$5:$B$26,0),2)</f>
        <v>#N/A</v>
      </c>
      <c r="U71" s="428">
        <f t="shared" si="39"/>
        <v>0</v>
      </c>
      <c r="V71" s="428">
        <f>IF(D71='HVAC References'!$G$288,1,0)</f>
        <v>0</v>
      </c>
      <c r="W71" s="428">
        <f>IF(D71='HVAC References'!$G$288,0,1)</f>
        <v>1</v>
      </c>
      <c r="Y71" s="437" t="str">
        <f t="shared" si="44"/>
        <v/>
      </c>
      <c r="Z71" s="433" t="str">
        <f>IF(AJ71="","",IF(B71='HVAC References'!$B$269,(4.5*J71*'HVAC References'!$C$281*L71)/(1000*F71)*(O71/24)*U71,(1.08*J71*R71*K71/(1000*F71)*O71*U71)))</f>
        <v/>
      </c>
      <c r="AA71" s="433" t="str">
        <f>IF(AJ71="","",IF(V71=0,0,IF(B71='HVAC References'!$B$269,(1.08*J71*S71*K71)/(1000*G71)*O71*V71,(1.08*J71*S71*K71/(1000*G71)*(O71/24)*V71))))</f>
        <v/>
      </c>
      <c r="AB71" s="433" t="str">
        <f t="shared" si="35"/>
        <v/>
      </c>
      <c r="AC71" s="433" t="str">
        <f t="shared" si="40"/>
        <v/>
      </c>
      <c r="AD71" s="433" t="str">
        <f t="shared" si="36"/>
        <v/>
      </c>
      <c r="AE71" s="433" t="str">
        <f t="shared" si="37"/>
        <v/>
      </c>
      <c r="AF71" s="433" t="str">
        <f>IF(AJ71="","",(1.08*J71*S71*K71/1000000*H71)*W71*O71+(AC71*'HVAC References'!$H$12))</f>
        <v/>
      </c>
      <c r="AG71" s="433" t="str">
        <f t="shared" si="38"/>
        <v/>
      </c>
      <c r="AH71" s="433" t="str">
        <f t="shared" si="41"/>
        <v/>
      </c>
      <c r="AJ71" s="581" t="str">
        <f>IF(B71="","",INDEX('HVAC References'!$B$269:$F$271,MATCH(B71,'HVAC References'!$B$269:$B$271,0),2))</f>
        <v/>
      </c>
      <c r="AK71" s="805" t="str">
        <f>Ventilation!M22</f>
        <v/>
      </c>
      <c r="AL71" s="805" t="str">
        <f>IFERROR(IF(OR(B71="",AH71=""),"",IF('HVAC References'!$K$12="Yes",INDEX('HVAC References'!$B$269:$F$271,MATCH(B71,'HVAC References'!$B$269:$B$271,0),4),INDEX('HVAC References'!$B$269:$F$271,MATCH(B71,'HVAC References'!$B$269:$B$271,0),3))),"")</f>
        <v/>
      </c>
      <c r="AM71" s="806" t="str">
        <f t="shared" si="42"/>
        <v/>
      </c>
      <c r="AN71" s="806" t="str">
        <f t="shared" si="43"/>
        <v/>
      </c>
    </row>
    <row r="72" spans="1:40" x14ac:dyDescent="0.25">
      <c r="A72" s="429">
        <v>5</v>
      </c>
      <c r="B72" s="428" t="str">
        <f>IF(Ventilation!B23="","",Ventilation!B23)</f>
        <v/>
      </c>
      <c r="C72" s="428" t="str">
        <f>IF(Ventilation!O23="","",Ventilation!O23)</f>
        <v/>
      </c>
      <c r="D72" s="428" t="str">
        <f>IF(Ventilation!P23="","",Ventilation!P23)</f>
        <v/>
      </c>
      <c r="E72" s="428" t="str">
        <f>IF(Ventilation!Q23="","",Ventilation!Q23)</f>
        <v/>
      </c>
      <c r="F72" s="428" t="str">
        <f>IF(Ventilation!S23="","",Ventilation!S23)</f>
        <v/>
      </c>
      <c r="G72" s="428" t="str">
        <f>IF(Ventilation!T23="","",Ventilation!T23)</f>
        <v/>
      </c>
      <c r="H72" s="724" t="str">
        <f>IF(Ventilation!U23="","",Ventilation!U23)</f>
        <v/>
      </c>
      <c r="J72" s="581" t="str">
        <f>IF(Ventilation!C23="","",Ventilation!C23)</f>
        <v/>
      </c>
      <c r="K72" s="724" t="str">
        <f>IF(Ventilation!D23="","",Ventilation!D23)</f>
        <v/>
      </c>
      <c r="L72" s="724" t="str">
        <f>IF(Ventilation!E23="","",Ventilation!E23)</f>
        <v/>
      </c>
      <c r="M72" s="428" t="str">
        <f>IF(Ventilation!F23="","",Ventilation!F23)</f>
        <v/>
      </c>
      <c r="N72" s="724" t="str">
        <f>IF(Ventilation!G23="","",Ventilation!G23)</f>
        <v/>
      </c>
      <c r="O72" s="428" t="str">
        <f>IF(Ventilation!H23="","",Ventilation!H23)</f>
        <v/>
      </c>
      <c r="P72" s="428" t="str">
        <f>IF(Ventilation!I23="","",Ventilation!I23)</f>
        <v/>
      </c>
      <c r="R72" s="581" t="str">
        <f>IF(B72="","",'HVAC References'!$C$320)</f>
        <v/>
      </c>
      <c r="S72" s="428" t="str">
        <f>IF(B72="","",IF(B72='HVAC References'!$H$288,'HVAC References'!$C$288,'HVAC References'!$C$319))</f>
        <v/>
      </c>
      <c r="T72" s="428" t="e">
        <f>INDEX('HVAC References'!$B$5:$D$26,MATCH(Ventilation!$F$7,'HVAC References'!$B$5:$B$26,0),2)</f>
        <v>#N/A</v>
      </c>
      <c r="U72" s="428">
        <f t="shared" si="39"/>
        <v>0</v>
      </c>
      <c r="V72" s="428">
        <f>IF(D72='HVAC References'!$G$288,1,0)</f>
        <v>0</v>
      </c>
      <c r="W72" s="428">
        <f>IF(D72='HVAC References'!$G$288,0,1)</f>
        <v>1</v>
      </c>
      <c r="Y72" s="437" t="str">
        <f t="shared" si="44"/>
        <v/>
      </c>
      <c r="Z72" s="433" t="str">
        <f>IF(AJ72="","",IF(B72='HVAC References'!$B$269,(4.5*J72*'HVAC References'!$C$281*L72)/(1000*F72)*(O72/24)*U72,(1.08*J72*R72*K72/(1000*F72)*O72*U72)))</f>
        <v/>
      </c>
      <c r="AA72" s="433" t="str">
        <f>IF(AJ72="","",IF(V72=0,0,IF(B72='HVAC References'!$B$269,(1.08*J72*S72*K72)/(1000*G72)*O72*V72,(1.08*J72*S72*K72/(1000*G72)*(O72/24)*V72))))</f>
        <v/>
      </c>
      <c r="AB72" s="433" t="str">
        <f t="shared" si="35"/>
        <v/>
      </c>
      <c r="AC72" s="433" t="str">
        <f t="shared" si="40"/>
        <v/>
      </c>
      <c r="AD72" s="433" t="str">
        <f t="shared" si="36"/>
        <v/>
      </c>
      <c r="AE72" s="433" t="str">
        <f t="shared" si="37"/>
        <v/>
      </c>
      <c r="AF72" s="433" t="str">
        <f>IF(AJ72="","",(1.08*J72*S72*K72/1000000*H72)*W72*O72+(AC72*'HVAC References'!$H$12))</f>
        <v/>
      </c>
      <c r="AG72" s="433" t="str">
        <f t="shared" si="38"/>
        <v/>
      </c>
      <c r="AH72" s="433" t="str">
        <f t="shared" si="41"/>
        <v/>
      </c>
      <c r="AJ72" s="581" t="str">
        <f>IF(B72="","",INDEX('HVAC References'!$B$269:$F$271,MATCH(B72,'HVAC References'!$B$269:$B$271,0),2))</f>
        <v/>
      </c>
      <c r="AK72" s="805" t="str">
        <f>Ventilation!M23</f>
        <v/>
      </c>
      <c r="AL72" s="805" t="str">
        <f>IFERROR(IF(OR(B72="",AH72=""),"",IF('HVAC References'!$K$12="Yes",INDEX('HVAC References'!$B$269:$F$271,MATCH(B72,'HVAC References'!$B$269:$B$271,0),4),INDEX('HVAC References'!$B$269:$F$271,MATCH(B72,'HVAC References'!$B$269:$B$271,0),3))),"")</f>
        <v/>
      </c>
      <c r="AM72" s="806" t="str">
        <f t="shared" si="42"/>
        <v/>
      </c>
      <c r="AN72" s="806" t="str">
        <f t="shared" si="43"/>
        <v/>
      </c>
    </row>
    <row r="73" spans="1:40" x14ac:dyDescent="0.25">
      <c r="A73" s="429">
        <v>6</v>
      </c>
      <c r="B73" s="428" t="str">
        <f>IF(Ventilation!B24="","",Ventilation!B24)</f>
        <v/>
      </c>
      <c r="C73" s="428" t="str">
        <f>IF(Ventilation!O24="","",Ventilation!O24)</f>
        <v/>
      </c>
      <c r="D73" s="428" t="str">
        <f>IF(Ventilation!P24="","",Ventilation!P24)</f>
        <v/>
      </c>
      <c r="E73" s="428" t="str">
        <f>IF(Ventilation!Q24="","",Ventilation!Q24)</f>
        <v/>
      </c>
      <c r="F73" s="428" t="str">
        <f>IF(Ventilation!S24="","",Ventilation!S24)</f>
        <v/>
      </c>
      <c r="G73" s="428" t="str">
        <f>IF(Ventilation!T24="","",Ventilation!T24)</f>
        <v/>
      </c>
      <c r="H73" s="724" t="str">
        <f>IF(Ventilation!U24="","",Ventilation!U24)</f>
        <v/>
      </c>
      <c r="J73" s="581" t="str">
        <f>IF(Ventilation!C24="","",Ventilation!C24)</f>
        <v/>
      </c>
      <c r="K73" s="724" t="str">
        <f>IF(Ventilation!D24="","",Ventilation!D24)</f>
        <v/>
      </c>
      <c r="L73" s="724" t="str">
        <f>IF(Ventilation!E24="","",Ventilation!E24)</f>
        <v/>
      </c>
      <c r="M73" s="428" t="str">
        <f>IF(Ventilation!F24="","",Ventilation!F24)</f>
        <v/>
      </c>
      <c r="N73" s="724" t="str">
        <f>IF(Ventilation!G24="","",Ventilation!G24)</f>
        <v/>
      </c>
      <c r="O73" s="428" t="str">
        <f>IF(Ventilation!H24="","",Ventilation!H24)</f>
        <v/>
      </c>
      <c r="P73" s="428" t="str">
        <f>IF(Ventilation!I24="","",Ventilation!I24)</f>
        <v/>
      </c>
      <c r="R73" s="581" t="str">
        <f>IF(B73="","",'HVAC References'!$C$320)</f>
        <v/>
      </c>
      <c r="S73" s="428" t="str">
        <f>IF(B73="","",IF(B73='HVAC References'!$H$288,'HVAC References'!$C$288,'HVAC References'!$C$319))</f>
        <v/>
      </c>
      <c r="T73" s="428" t="e">
        <f>INDEX('HVAC References'!$B$5:$D$26,MATCH(Ventilation!$F$7,'HVAC References'!$B$5:$B$26,0),2)</f>
        <v>#N/A</v>
      </c>
      <c r="U73" s="428">
        <f t="shared" si="39"/>
        <v>0</v>
      </c>
      <c r="V73" s="428">
        <f>IF(D73='HVAC References'!$G$288,1,0)</f>
        <v>0</v>
      </c>
      <c r="W73" s="428">
        <f>IF(D73='HVAC References'!$G$288,0,1)</f>
        <v>1</v>
      </c>
      <c r="Y73" s="437" t="str">
        <f t="shared" si="44"/>
        <v/>
      </c>
      <c r="Z73" s="433" t="str">
        <f>IF(AJ73="","",IF(B73='HVAC References'!$B$269,(4.5*J73*'HVAC References'!$C$281*L73)/(1000*F73)*(O73/24)*U73,(1.08*J73*R73*K73/(1000*F73)*O73*U73)))</f>
        <v/>
      </c>
      <c r="AA73" s="433" t="str">
        <f>IF(AJ73="","",IF(V73=0,0,IF(B73='HVAC References'!$B$269,(1.08*J73*S73*K73)/(1000*G73)*O73*V73,(1.08*J73*S73*K73/(1000*G73)*(O73/24)*V73))))</f>
        <v/>
      </c>
      <c r="AB73" s="433" t="str">
        <f t="shared" si="35"/>
        <v/>
      </c>
      <c r="AC73" s="433" t="str">
        <f t="shared" si="40"/>
        <v/>
      </c>
      <c r="AD73" s="433" t="str">
        <f t="shared" si="36"/>
        <v/>
      </c>
      <c r="AE73" s="433" t="str">
        <f t="shared" si="37"/>
        <v/>
      </c>
      <c r="AF73" s="433" t="str">
        <f>IF(AJ73="","",(1.08*J73*S73*K73/1000000*H73)*W73*O73+(AC73*'HVAC References'!$H$12))</f>
        <v/>
      </c>
      <c r="AG73" s="433" t="str">
        <f t="shared" si="38"/>
        <v/>
      </c>
      <c r="AH73" s="433" t="str">
        <f t="shared" si="41"/>
        <v/>
      </c>
      <c r="AJ73" s="581" t="str">
        <f>IF(B73="","",INDEX('HVAC References'!$B$269:$F$271,MATCH(B73,'HVAC References'!$B$269:$B$271,0),2))</f>
        <v/>
      </c>
      <c r="AK73" s="805" t="str">
        <f>Ventilation!M24</f>
        <v/>
      </c>
      <c r="AL73" s="805" t="str">
        <f>IFERROR(IF(OR(B73="",AH73=""),"",IF('HVAC References'!$K$12="Yes",INDEX('HVAC References'!$B$269:$F$271,MATCH(B73,'HVAC References'!$B$269:$B$271,0),4),INDEX('HVAC References'!$B$269:$F$271,MATCH(B73,'HVAC References'!$B$269:$B$271,0),3))),"")</f>
        <v/>
      </c>
      <c r="AM73" s="806" t="str">
        <f t="shared" si="42"/>
        <v/>
      </c>
      <c r="AN73" s="806" t="str">
        <f t="shared" si="43"/>
        <v/>
      </c>
    </row>
    <row r="74" spans="1:40" x14ac:dyDescent="0.25">
      <c r="A74" s="429">
        <v>7</v>
      </c>
      <c r="B74" s="428" t="str">
        <f>IF(Ventilation!B25="","",Ventilation!B25)</f>
        <v/>
      </c>
      <c r="C74" s="428" t="str">
        <f>IF(Ventilation!O25="","",Ventilation!O25)</f>
        <v/>
      </c>
      <c r="D74" s="428" t="str">
        <f>IF(Ventilation!P25="","",Ventilation!P25)</f>
        <v/>
      </c>
      <c r="E74" s="428" t="str">
        <f>IF(Ventilation!Q25="","",Ventilation!Q25)</f>
        <v/>
      </c>
      <c r="F74" s="428" t="str">
        <f>IF(Ventilation!S25="","",Ventilation!S25)</f>
        <v/>
      </c>
      <c r="G74" s="428" t="str">
        <f>IF(Ventilation!T25="","",Ventilation!T25)</f>
        <v/>
      </c>
      <c r="H74" s="724" t="str">
        <f>IF(Ventilation!U25="","",Ventilation!U25)</f>
        <v/>
      </c>
      <c r="J74" s="581" t="str">
        <f>IF(Ventilation!C25="","",Ventilation!C25)</f>
        <v/>
      </c>
      <c r="K74" s="724" t="str">
        <f>IF(Ventilation!D25="","",Ventilation!D25)</f>
        <v/>
      </c>
      <c r="L74" s="724" t="str">
        <f>IF(Ventilation!E25="","",Ventilation!E25)</f>
        <v/>
      </c>
      <c r="M74" s="428" t="str">
        <f>IF(Ventilation!F25="","",Ventilation!F25)</f>
        <v/>
      </c>
      <c r="N74" s="724" t="str">
        <f>IF(Ventilation!G25="","",Ventilation!G25)</f>
        <v/>
      </c>
      <c r="O74" s="428" t="str">
        <f>IF(Ventilation!H25="","",Ventilation!H25)</f>
        <v/>
      </c>
      <c r="P74" s="428" t="str">
        <f>IF(Ventilation!I25="","",Ventilation!I25)</f>
        <v/>
      </c>
      <c r="R74" s="581" t="str">
        <f>IF(B74="","",'HVAC References'!$C$320)</f>
        <v/>
      </c>
      <c r="S74" s="428" t="str">
        <f>IF(B74="","",IF(B74='HVAC References'!$H$288,'HVAC References'!$C$288,'HVAC References'!$C$319))</f>
        <v/>
      </c>
      <c r="T74" s="428" t="e">
        <f>INDEX('HVAC References'!$B$5:$D$26,MATCH(Ventilation!$F$7,'HVAC References'!$B$5:$B$26,0),2)</f>
        <v>#N/A</v>
      </c>
      <c r="U74" s="428">
        <f t="shared" si="39"/>
        <v>0</v>
      </c>
      <c r="V74" s="428">
        <f>IF(D74='HVAC References'!$G$288,1,0)</f>
        <v>0</v>
      </c>
      <c r="W74" s="428">
        <f>IF(D74='HVAC References'!$G$288,0,1)</f>
        <v>1</v>
      </c>
      <c r="Y74" s="437" t="str">
        <f t="shared" si="44"/>
        <v/>
      </c>
      <c r="Z74" s="433" t="str">
        <f>IF(AJ74="","",IF(B74='HVAC References'!$B$269,(4.5*J74*'HVAC References'!$C$281*L74)/(1000*F74)*(O74/24)*U74,(1.08*J74*R74*K74/(1000*F74)*O74*U74)))</f>
        <v/>
      </c>
      <c r="AA74" s="433" t="str">
        <f>IF(AJ74="","",IF(V74=0,0,IF(B74='HVAC References'!$B$269,(1.08*J74*S74*K74)/(1000*G74)*O74*V74,(1.08*J74*S74*K74/(1000*G74)*(O74/24)*V74))))</f>
        <v/>
      </c>
      <c r="AB74" s="433" t="str">
        <f t="shared" si="35"/>
        <v/>
      </c>
      <c r="AC74" s="433" t="str">
        <f t="shared" si="40"/>
        <v/>
      </c>
      <c r="AD74" s="433" t="str">
        <f t="shared" si="36"/>
        <v/>
      </c>
      <c r="AE74" s="433" t="str">
        <f t="shared" si="37"/>
        <v/>
      </c>
      <c r="AF74" s="433" t="str">
        <f>IF(AJ74="","",(1.08*J74*S74*K74/1000000*H74)*W74*O74+(AC74*'HVAC References'!$H$12))</f>
        <v/>
      </c>
      <c r="AG74" s="433" t="str">
        <f t="shared" si="38"/>
        <v/>
      </c>
      <c r="AH74" s="433" t="str">
        <f t="shared" si="41"/>
        <v/>
      </c>
      <c r="AJ74" s="581" t="str">
        <f>IF(B74="","",INDEX('HVAC References'!$B$269:$F$271,MATCH(B74,'HVAC References'!$B$269:$B$271,0),2))</f>
        <v/>
      </c>
      <c r="AK74" s="805" t="str">
        <f>Ventilation!M25</f>
        <v/>
      </c>
      <c r="AL74" s="805" t="str">
        <f>IFERROR(IF(OR(B74="",AH74=""),"",IF('HVAC References'!$K$12="Yes",INDEX('HVAC References'!$B$269:$F$271,MATCH(B74,'HVAC References'!$B$269:$B$271,0),4),INDEX('HVAC References'!$B$269:$F$271,MATCH(B74,'HVAC References'!$B$269:$B$271,0),3))),"")</f>
        <v/>
      </c>
      <c r="AM74" s="806" t="str">
        <f t="shared" si="42"/>
        <v/>
      </c>
      <c r="AN74" s="806" t="str">
        <f t="shared" si="43"/>
        <v/>
      </c>
    </row>
    <row r="75" spans="1:40" x14ac:dyDescent="0.25">
      <c r="A75" s="429">
        <v>8</v>
      </c>
      <c r="B75" s="428" t="str">
        <f>IF(Ventilation!B26="","",Ventilation!B26)</f>
        <v/>
      </c>
      <c r="C75" s="428" t="str">
        <f>IF(Ventilation!O26="","",Ventilation!O26)</f>
        <v/>
      </c>
      <c r="D75" s="428" t="str">
        <f>IF(Ventilation!P26="","",Ventilation!P26)</f>
        <v/>
      </c>
      <c r="E75" s="428" t="str">
        <f>IF(Ventilation!Q26="","",Ventilation!Q26)</f>
        <v/>
      </c>
      <c r="F75" s="428" t="str">
        <f>IF(Ventilation!S26="","",Ventilation!S26)</f>
        <v/>
      </c>
      <c r="G75" s="428" t="str">
        <f>IF(Ventilation!T26="","",Ventilation!T26)</f>
        <v/>
      </c>
      <c r="H75" s="724" t="str">
        <f>IF(Ventilation!U26="","",Ventilation!U26)</f>
        <v/>
      </c>
      <c r="J75" s="581" t="str">
        <f>IF(Ventilation!C26="","",Ventilation!C26)</f>
        <v/>
      </c>
      <c r="K75" s="724" t="str">
        <f>IF(Ventilation!D26="","",Ventilation!D26)</f>
        <v/>
      </c>
      <c r="L75" s="724" t="str">
        <f>IF(Ventilation!E26="","",Ventilation!E26)</f>
        <v/>
      </c>
      <c r="M75" s="428" t="str">
        <f>IF(Ventilation!F26="","",Ventilation!F26)</f>
        <v/>
      </c>
      <c r="N75" s="724" t="str">
        <f>IF(Ventilation!G26="","",Ventilation!G26)</f>
        <v/>
      </c>
      <c r="O75" s="428" t="str">
        <f>IF(Ventilation!H26="","",Ventilation!H26)</f>
        <v/>
      </c>
      <c r="P75" s="428" t="str">
        <f>IF(Ventilation!I26="","",Ventilation!I26)</f>
        <v/>
      </c>
      <c r="R75" s="581" t="str">
        <f>IF(B75="","",'HVAC References'!$C$320)</f>
        <v/>
      </c>
      <c r="S75" s="428" t="str">
        <f>IF(B75="","",IF(B75='HVAC References'!$H$288,'HVAC References'!$C$288,'HVAC References'!$C$319))</f>
        <v/>
      </c>
      <c r="T75" s="428" t="e">
        <f>INDEX('HVAC References'!$B$5:$D$26,MATCH(Ventilation!$F$7,'HVAC References'!$B$5:$B$26,0),2)</f>
        <v>#N/A</v>
      </c>
      <c r="U75" s="428">
        <f t="shared" si="39"/>
        <v>0</v>
      </c>
      <c r="V75" s="428">
        <f>IF(D75='HVAC References'!$G$288,1,0)</f>
        <v>0</v>
      </c>
      <c r="W75" s="428">
        <f>IF(D75='HVAC References'!$G$288,0,1)</f>
        <v>1</v>
      </c>
      <c r="Y75" s="437" t="str">
        <f t="shared" si="44"/>
        <v/>
      </c>
      <c r="Z75" s="433" t="str">
        <f>IF(AJ75="","",IF(B75='HVAC References'!$B$269,(4.5*J75*'HVAC References'!$C$281*L75)/(1000*F75)*(O75/24)*U75,(1.08*J75*R75*K75/(1000*F75)*O75*U75)))</f>
        <v/>
      </c>
      <c r="AA75" s="433" t="str">
        <f>IF(AJ75="","",IF(V75=0,0,IF(B75='HVAC References'!$B$269,(1.08*J75*S75*K75)/(1000*G75)*O75*V75,(1.08*J75*S75*K75/(1000*G75)*(O75/24)*V75))))</f>
        <v/>
      </c>
      <c r="AB75" s="433" t="str">
        <f t="shared" si="35"/>
        <v/>
      </c>
      <c r="AC75" s="433" t="str">
        <f t="shared" si="40"/>
        <v/>
      </c>
      <c r="AD75" s="433" t="str">
        <f t="shared" si="36"/>
        <v/>
      </c>
      <c r="AE75" s="433" t="str">
        <f t="shared" si="37"/>
        <v/>
      </c>
      <c r="AF75" s="433" t="str">
        <f>IF(AJ75="","",(1.08*J75*S75*K75/1000000*H75)*W75*O75+(AC75*'HVAC References'!$H$12))</f>
        <v/>
      </c>
      <c r="AG75" s="433" t="str">
        <f t="shared" si="38"/>
        <v/>
      </c>
      <c r="AH75" s="433" t="str">
        <f t="shared" si="41"/>
        <v/>
      </c>
      <c r="AJ75" s="581" t="str">
        <f>IF(B75="","",INDEX('HVAC References'!$B$269:$F$271,MATCH(B75,'HVAC References'!$B$269:$B$271,0),2))</f>
        <v/>
      </c>
      <c r="AK75" s="805" t="str">
        <f>Ventilation!M26</f>
        <v/>
      </c>
      <c r="AL75" s="805" t="str">
        <f>IFERROR(IF(OR(B75="",AH75=""),"",IF('HVAC References'!$K$12="Yes",INDEX('HVAC References'!$B$269:$F$271,MATCH(B75,'HVAC References'!$B$269:$B$271,0),4),INDEX('HVAC References'!$B$269:$F$271,MATCH(B75,'HVAC References'!$B$269:$B$271,0),3))),"")</f>
        <v/>
      </c>
      <c r="AM75" s="806" t="str">
        <f t="shared" si="42"/>
        <v/>
      </c>
      <c r="AN75" s="806" t="str">
        <f t="shared" si="43"/>
        <v/>
      </c>
    </row>
    <row r="76" spans="1:40" x14ac:dyDescent="0.25">
      <c r="A76" s="429">
        <v>9</v>
      </c>
      <c r="B76" s="428" t="str">
        <f>IF(Ventilation!B27="","",Ventilation!B27)</f>
        <v/>
      </c>
      <c r="C76" s="428" t="str">
        <f>IF(Ventilation!O27="","",Ventilation!O27)</f>
        <v/>
      </c>
      <c r="D76" s="428" t="str">
        <f>IF(Ventilation!P27="","",Ventilation!P27)</f>
        <v/>
      </c>
      <c r="E76" s="428" t="str">
        <f>IF(Ventilation!Q27="","",Ventilation!Q27)</f>
        <v/>
      </c>
      <c r="F76" s="428" t="str">
        <f>IF(Ventilation!S27="","",Ventilation!S27)</f>
        <v/>
      </c>
      <c r="G76" s="428" t="str">
        <f>IF(Ventilation!T27="","",Ventilation!T27)</f>
        <v/>
      </c>
      <c r="H76" s="724" t="str">
        <f>IF(Ventilation!U27="","",Ventilation!U27)</f>
        <v/>
      </c>
      <c r="J76" s="581" t="str">
        <f>IF(Ventilation!C27="","",Ventilation!C27)</f>
        <v/>
      </c>
      <c r="K76" s="724" t="str">
        <f>IF(Ventilation!D27="","",Ventilation!D27)</f>
        <v/>
      </c>
      <c r="L76" s="724" t="str">
        <f>IF(Ventilation!E27="","",Ventilation!E27)</f>
        <v/>
      </c>
      <c r="M76" s="428" t="str">
        <f>IF(Ventilation!F27="","",Ventilation!F27)</f>
        <v/>
      </c>
      <c r="N76" s="724" t="str">
        <f>IF(Ventilation!G27="","",Ventilation!G27)</f>
        <v/>
      </c>
      <c r="O76" s="428" t="str">
        <f>IF(Ventilation!H27="","",Ventilation!H27)</f>
        <v/>
      </c>
      <c r="P76" s="428" t="str">
        <f>IF(Ventilation!I27="","",Ventilation!I27)</f>
        <v/>
      </c>
      <c r="R76" s="581" t="str">
        <f>IF(B76="","",'HVAC References'!$C$320)</f>
        <v/>
      </c>
      <c r="S76" s="428" t="str">
        <f>IF(B76="","",IF(B76='HVAC References'!$H$288,'HVAC References'!$C$288,'HVAC References'!$C$319))</f>
        <v/>
      </c>
      <c r="T76" s="428" t="e">
        <f>INDEX('HVAC References'!$B$5:$D$26,MATCH(Ventilation!$F$7,'HVAC References'!$B$5:$B$26,0),2)</f>
        <v>#N/A</v>
      </c>
      <c r="U76" s="428">
        <f t="shared" si="39"/>
        <v>0</v>
      </c>
      <c r="V76" s="428">
        <f>IF(D76='HVAC References'!$G$288,1,0)</f>
        <v>0</v>
      </c>
      <c r="W76" s="428">
        <f>IF(D76='HVAC References'!$G$288,0,1)</f>
        <v>1</v>
      </c>
      <c r="Y76" s="437" t="str">
        <f t="shared" si="44"/>
        <v/>
      </c>
      <c r="Z76" s="433" t="str">
        <f>IF(AJ76="","",IF(B76='HVAC References'!$B$269,(4.5*J76*'HVAC References'!$C$281*L76)/(1000*F76)*(O76/24)*U76,(1.08*J76*R76*K76/(1000*F76)*O76*U76)))</f>
        <v/>
      </c>
      <c r="AA76" s="433" t="str">
        <f>IF(AJ76="","",IF(V76=0,0,IF(B76='HVAC References'!$B$269,(1.08*J76*S76*K76)/(1000*G76)*O76*V76,(1.08*J76*S76*K76/(1000*G76)*(O76/24)*V76))))</f>
        <v/>
      </c>
      <c r="AB76" s="433" t="str">
        <f t="shared" si="35"/>
        <v/>
      </c>
      <c r="AC76" s="433" t="str">
        <f t="shared" si="40"/>
        <v/>
      </c>
      <c r="AD76" s="433" t="str">
        <f t="shared" si="36"/>
        <v/>
      </c>
      <c r="AE76" s="433" t="str">
        <f t="shared" si="37"/>
        <v/>
      </c>
      <c r="AF76" s="433" t="str">
        <f>IF(AJ76="","",(1.08*J76*S76*K76/1000000*H76)*W76*O76+(AC76*'HVAC References'!$H$12))</f>
        <v/>
      </c>
      <c r="AG76" s="433" t="str">
        <f t="shared" si="38"/>
        <v/>
      </c>
      <c r="AH76" s="433" t="str">
        <f t="shared" si="41"/>
        <v/>
      </c>
      <c r="AJ76" s="581" t="str">
        <f>IF(B76="","",INDEX('HVAC References'!$B$269:$F$271,MATCH(B76,'HVAC References'!$B$269:$B$271,0),2))</f>
        <v/>
      </c>
      <c r="AK76" s="805" t="str">
        <f>Ventilation!M27</f>
        <v/>
      </c>
      <c r="AL76" s="805" t="str">
        <f>IFERROR(IF(OR(B76="",AH76=""),"",IF('HVAC References'!$K$12="Yes",INDEX('HVAC References'!$B$269:$F$271,MATCH(B76,'HVAC References'!$B$269:$B$271,0),4),INDEX('HVAC References'!$B$269:$F$271,MATCH(B76,'HVAC References'!$B$269:$B$271,0),3))),"")</f>
        <v/>
      </c>
      <c r="AM76" s="806" t="str">
        <f t="shared" si="42"/>
        <v/>
      </c>
      <c r="AN76" s="806" t="str">
        <f t="shared" si="43"/>
        <v/>
      </c>
    </row>
    <row r="77" spans="1:40" ht="15.75" thickBot="1" x14ac:dyDescent="0.3">
      <c r="A77" s="430">
        <v>10</v>
      </c>
      <c r="B77" s="431" t="str">
        <f>IF(Ventilation!B28="","",Ventilation!B28)</f>
        <v/>
      </c>
      <c r="C77" s="431" t="str">
        <f>IF(Ventilation!O28="","",Ventilation!O28)</f>
        <v/>
      </c>
      <c r="D77" s="431" t="str">
        <f>IF(Ventilation!P28="","",Ventilation!P28)</f>
        <v/>
      </c>
      <c r="E77" s="431" t="str">
        <f>IF(Ventilation!Q28="","",Ventilation!Q28)</f>
        <v/>
      </c>
      <c r="F77" s="431" t="str">
        <f>IF(Ventilation!S28="","",Ventilation!S28)</f>
        <v/>
      </c>
      <c r="G77" s="431" t="str">
        <f>IF(Ventilation!T28="","",Ventilation!T28)</f>
        <v/>
      </c>
      <c r="H77" s="725" t="str">
        <f>IF(Ventilation!U28="","",Ventilation!U28)</f>
        <v/>
      </c>
      <c r="J77" s="582" t="str">
        <f>IF(Ventilation!C28="","",Ventilation!C28)</f>
        <v/>
      </c>
      <c r="K77" s="725" t="str">
        <f>IF(Ventilation!D28="","",Ventilation!D28)</f>
        <v/>
      </c>
      <c r="L77" s="725" t="str">
        <f>IF(Ventilation!E28="","",Ventilation!E28)</f>
        <v/>
      </c>
      <c r="M77" s="431" t="str">
        <f>IF(Ventilation!F28="","",Ventilation!F28)</f>
        <v/>
      </c>
      <c r="N77" s="725" t="str">
        <f>IF(Ventilation!G28="","",Ventilation!G28)</f>
        <v/>
      </c>
      <c r="O77" s="431" t="str">
        <f>IF(Ventilation!H28="","",Ventilation!H28)</f>
        <v/>
      </c>
      <c r="P77" s="431" t="str">
        <f>IF(Ventilation!I28="","",Ventilation!I28)</f>
        <v/>
      </c>
      <c r="R77" s="582" t="str">
        <f>IF(B77="","",'HVAC References'!$C$320)</f>
        <v/>
      </c>
      <c r="S77" s="431" t="str">
        <f>IF(B77="","",IF(B77='HVAC References'!$H$288,'HVAC References'!$C$288,'HVAC References'!$C$319))</f>
        <v/>
      </c>
      <c r="T77" s="431" t="e">
        <f>INDEX('HVAC References'!$B$5:$D$26,MATCH(Ventilation!$F$7,'HVAC References'!$B$5:$B$26,0),2)</f>
        <v>#N/A</v>
      </c>
      <c r="U77" s="431">
        <f t="shared" si="39"/>
        <v>0</v>
      </c>
      <c r="V77" s="431">
        <f>IF(D77='HVAC References'!$G$288,1,0)</f>
        <v>0</v>
      </c>
      <c r="W77" s="431">
        <f>IF(D77='HVAC References'!$G$288,0,1)</f>
        <v>1</v>
      </c>
      <c r="Y77" s="438" t="str">
        <f t="shared" si="44"/>
        <v/>
      </c>
      <c r="Z77" s="439" t="str">
        <f>IF(AJ77="","",IF(B77='HVAC References'!$B$269,(4.5*J77*'HVAC References'!$C$281*L77)/(1000*F77)*(O77/24)*U77,(1.08*J77*R77*K77/(1000*F77)*O77*U77)))</f>
        <v/>
      </c>
      <c r="AA77" s="439" t="str">
        <f>IF(AJ77="","",IF(V77=0,0,IF(B77='HVAC References'!$B$269,(1.08*J77*S77*K77)/(1000*G77)*O77*V77,(1.08*J77*S77*K77/(1000*G77)*(O77/24)*V77))))</f>
        <v/>
      </c>
      <c r="AB77" s="439" t="str">
        <f t="shared" si="35"/>
        <v/>
      </c>
      <c r="AC77" s="439" t="str">
        <f t="shared" si="40"/>
        <v/>
      </c>
      <c r="AD77" s="439" t="str">
        <f t="shared" si="36"/>
        <v/>
      </c>
      <c r="AE77" s="439" t="str">
        <f t="shared" si="37"/>
        <v/>
      </c>
      <c r="AF77" s="439" t="str">
        <f>IF(AJ77="","",(1.08*J77*S77*K77/1000000*H77)*W77*O77+(AC77*'HVAC References'!$H$12))</f>
        <v/>
      </c>
      <c r="AG77" s="439" t="str">
        <f t="shared" si="38"/>
        <v/>
      </c>
      <c r="AH77" s="439" t="str">
        <f t="shared" si="41"/>
        <v/>
      </c>
      <c r="AJ77" s="582" t="str">
        <f>IF(B77="","",INDEX('HVAC References'!$B$269:$F$271,MATCH(B77,'HVAC References'!$B$269:$B$271,0),2))</f>
        <v/>
      </c>
      <c r="AK77" s="807" t="str">
        <f>Ventilation!M28</f>
        <v/>
      </c>
      <c r="AL77" s="807" t="str">
        <f>IFERROR(IF(OR(B77="",AH77=""),"",IF('HVAC References'!$K$12="Yes",INDEX('HVAC References'!$B$269:$F$271,MATCH(B77,'HVAC References'!$B$269:$B$271,0),4),INDEX('HVAC References'!$B$269:$F$271,MATCH(B77,'HVAC References'!$B$269:$B$271,0),3))),"")</f>
        <v/>
      </c>
      <c r="AM77" s="808" t="str">
        <f t="shared" si="42"/>
        <v/>
      </c>
      <c r="AN77" s="808" t="str">
        <f t="shared" si="43"/>
        <v/>
      </c>
    </row>
    <row r="79" spans="1:40" x14ac:dyDescent="0.25">
      <c r="AD79" s="804"/>
    </row>
    <row r="80" spans="1:40" ht="28.5" x14ac:dyDescent="0.45">
      <c r="A80" s="575" t="s">
        <v>1160</v>
      </c>
    </row>
    <row r="81" spans="1:31" ht="15.75" thickBot="1" x14ac:dyDescent="0.3"/>
    <row r="82" spans="1:31" ht="15.75" thickBot="1" x14ac:dyDescent="0.3">
      <c r="A82" s="1260" t="s">
        <v>1801</v>
      </c>
      <c r="B82" s="1261"/>
      <c r="C82" s="1261"/>
      <c r="D82" s="1261"/>
      <c r="E82" s="1261"/>
      <c r="F82" s="1262"/>
      <c r="H82" s="1260" t="s">
        <v>1492</v>
      </c>
      <c r="I82" s="1261"/>
      <c r="J82" s="1261"/>
      <c r="K82" s="1261"/>
      <c r="L82" s="1261"/>
      <c r="M82" s="1262"/>
      <c r="O82" s="1260" t="s">
        <v>1568</v>
      </c>
      <c r="P82" s="1261"/>
      <c r="Q82" s="1261"/>
      <c r="R82" s="1261"/>
      <c r="S82" s="1261"/>
      <c r="T82" s="1261"/>
      <c r="U82" s="1262"/>
      <c r="W82" s="1260" t="s">
        <v>1917</v>
      </c>
      <c r="X82" s="1261"/>
      <c r="Y82" s="1262"/>
      <c r="AA82" s="1260" t="s">
        <v>1849</v>
      </c>
      <c r="AB82" s="1261"/>
      <c r="AC82" s="1261"/>
      <c r="AD82" s="1261"/>
      <c r="AE82" s="1262"/>
    </row>
    <row r="83" spans="1:31" ht="18.75" thickBot="1" x14ac:dyDescent="0.4">
      <c r="A83" s="583" t="s">
        <v>1543</v>
      </c>
      <c r="B83" s="408" t="s">
        <v>1559</v>
      </c>
      <c r="C83" s="408" t="s">
        <v>1215</v>
      </c>
      <c r="D83" s="408" t="s">
        <v>1831</v>
      </c>
      <c r="E83" s="408" t="s">
        <v>1832</v>
      </c>
      <c r="F83" s="408" t="s">
        <v>1200</v>
      </c>
      <c r="H83" s="408" t="s">
        <v>1172</v>
      </c>
      <c r="I83" s="408" t="s">
        <v>1380</v>
      </c>
      <c r="J83" s="408" t="s">
        <v>1382</v>
      </c>
      <c r="K83" s="408" t="s">
        <v>1171</v>
      </c>
      <c r="L83" s="408" t="s">
        <v>411</v>
      </c>
      <c r="M83" s="408" t="s">
        <v>1383</v>
      </c>
      <c r="O83" s="408" t="s">
        <v>1561</v>
      </c>
      <c r="P83" s="408" t="s">
        <v>1562</v>
      </c>
      <c r="Q83" s="408" t="s">
        <v>1563</v>
      </c>
      <c r="R83" s="408" t="s">
        <v>1564</v>
      </c>
      <c r="S83" s="408" t="s">
        <v>1565</v>
      </c>
      <c r="T83" s="408" t="s">
        <v>1566</v>
      </c>
      <c r="U83" s="408" t="s">
        <v>1567</v>
      </c>
      <c r="W83" s="408" t="s">
        <v>1561</v>
      </c>
      <c r="X83" s="408" t="s">
        <v>1918</v>
      </c>
      <c r="Y83" s="408" t="s">
        <v>1919</v>
      </c>
      <c r="AA83" s="583" t="s">
        <v>267</v>
      </c>
      <c r="AB83" s="809" t="s">
        <v>1857</v>
      </c>
      <c r="AC83" s="809" t="s">
        <v>1570</v>
      </c>
      <c r="AD83" s="810" t="s">
        <v>1571</v>
      </c>
      <c r="AE83" s="810" t="s">
        <v>1858</v>
      </c>
    </row>
    <row r="84" spans="1:31" x14ac:dyDescent="0.25">
      <c r="A84" s="432">
        <v>1</v>
      </c>
      <c r="B84" s="433" t="str">
        <f>IF(AA84="","",IF('Customer Information'!$C$16="","",'Customer Information'!$C$16))</f>
        <v/>
      </c>
      <c r="C84" s="433" t="str">
        <f>IF(Ventilation!O35="","",Ventilation!O35)</f>
        <v/>
      </c>
      <c r="D84" s="433" t="str">
        <f>IF(Ventilation!P35="",I84,Ventilation!P35)</f>
        <v/>
      </c>
      <c r="E84" s="433" t="str">
        <f>IF(C84="","",IF(Ventilation!Q35="",INDEX('HVAC References'!$F$342:$G$345,MATCH(C84,'HVAC References'!$F$342:$F$345,0),2),Ventilation!Q35))</f>
        <v/>
      </c>
      <c r="F84" s="433" t="str">
        <f>IF(H84="","",IF(Ventilation!R35="",K84*5,Ventilation!R35))</f>
        <v/>
      </c>
      <c r="H84" s="437" t="str">
        <f>IF(Ventilation!B35="","",Ventilation!B35)</f>
        <v/>
      </c>
      <c r="I84" s="433" t="str">
        <f>IF(Ventilation!D35="","",Ventilation!D35)</f>
        <v/>
      </c>
      <c r="J84" s="433" t="str">
        <f>IF(Ventilation!E35="","",Ventilation!E35)</f>
        <v/>
      </c>
      <c r="K84" s="433" t="str">
        <f>IF(Ventilation!F35="","",Ventilation!F35)</f>
        <v/>
      </c>
      <c r="L84" s="433">
        <f>IF(Ventilation!G35="",'HVAC References'!$C$350,Ventilation!G35)</f>
        <v>4988</v>
      </c>
      <c r="M84" s="433">
        <f>IF(Ventilation!H35="Yes",'HVAC References'!$I$348,'HVAC References'!$I$349)</f>
        <v>1</v>
      </c>
      <c r="O84" s="437" t="str">
        <f>IF(H84="","",R84/L84)</f>
        <v/>
      </c>
      <c r="P84" s="433" t="str">
        <f>IF(H84="","",(((F84*(D84/E84))-(K84*(I84/J84)*M84))*L84)/K84)</f>
        <v/>
      </c>
      <c r="Q84" s="433" t="str">
        <f>IF(H84="","",0)</f>
        <v/>
      </c>
      <c r="R84" s="433" t="str">
        <f>IF(H84="","",P84-Q84)</f>
        <v/>
      </c>
      <c r="S84" s="433" t="str">
        <f>IF(H84="","",P84*'HVAC References'!$H$12)</f>
        <v/>
      </c>
      <c r="T84" s="433" t="str">
        <f>IF(H84="","",0)</f>
        <v/>
      </c>
      <c r="U84" s="433" t="str">
        <f>IF(H84="","",S84+T84)</f>
        <v/>
      </c>
      <c r="W84" s="437" t="e">
        <f>O84*$K84</f>
        <v>#VALUE!</v>
      </c>
      <c r="X84" s="433" t="e">
        <f>P84*$K84</f>
        <v>#VALUE!</v>
      </c>
      <c r="Y84" s="433" t="e">
        <f>U84*$K84</f>
        <v>#VALUE!</v>
      </c>
      <c r="AA84" s="437" t="str">
        <f>IF(OR(H84="",P84&lt;0),"",'HVAC References'!$C$271)</f>
        <v/>
      </c>
      <c r="AB84" s="571" t="str">
        <f>Ventilation!M35</f>
        <v/>
      </c>
      <c r="AC84" s="571">
        <f>IF(AA84="",0,IF('HVAC References'!$K$12="Yes",INDEX('HVAC References'!$C$269:$F$271,MATCH(AA84,'HVAC References'!$C$269:$C$271,0),3),INDEX('HVAC References'!$C$269:$F$271,MATCH(AA84,'HVAC References'!$C$269:$C$271,0),2)))</f>
        <v>0</v>
      </c>
      <c r="AD84" s="441">
        <f t="shared" ref="AD84:AD93" si="45">IFERROR(AC84*(LEFT(H84,2)),0)</f>
        <v>0</v>
      </c>
      <c r="AE84" s="441">
        <f>IF(AB84="",0,MIN(AB84*0.7,AD84))</f>
        <v>0</v>
      </c>
    </row>
    <row r="85" spans="1:31" x14ac:dyDescent="0.25">
      <c r="A85" s="429">
        <v>2</v>
      </c>
      <c r="B85" s="428" t="str">
        <f>IF(AA85="","",IF('Customer Information'!$C$16="","",'Customer Information'!$C$16))</f>
        <v/>
      </c>
      <c r="C85" s="428" t="str">
        <f>IF(Ventilation!O36="","",Ventilation!O36)</f>
        <v/>
      </c>
      <c r="D85" s="428" t="str">
        <f>IF(Ventilation!P36="",I85,Ventilation!P36)</f>
        <v/>
      </c>
      <c r="E85" s="428" t="str">
        <f>IF(C85="","",IF(Ventilation!Q36="",INDEX('HVAC References'!$F$342:$G$345,MATCH(C85,'HVAC References'!$F$342:$F$345,0),2),Ventilation!Q36))</f>
        <v/>
      </c>
      <c r="F85" s="428" t="str">
        <f>IF(H85="","",IF(Ventilation!R36="",K85*5,Ventilation!R36))</f>
        <v/>
      </c>
      <c r="H85" s="581" t="str">
        <f>IF(Ventilation!B36="","",Ventilation!B36)</f>
        <v/>
      </c>
      <c r="I85" s="428" t="str">
        <f>IF(Ventilation!D36="","",Ventilation!D36)</f>
        <v/>
      </c>
      <c r="J85" s="428" t="str">
        <f>IF(Ventilation!E36="","",Ventilation!E36)</f>
        <v/>
      </c>
      <c r="K85" s="428" t="str">
        <f>IF(Ventilation!F36="","",Ventilation!F36)</f>
        <v/>
      </c>
      <c r="L85" s="428">
        <f>IF(Ventilation!G36="",'HVAC References'!$C$350,Ventilation!G36)</f>
        <v>4988</v>
      </c>
      <c r="M85" s="428">
        <f>IF(Ventilation!H36="Yes",'HVAC References'!$I$348,'HVAC References'!$I$349)</f>
        <v>1</v>
      </c>
      <c r="O85" s="581" t="str">
        <f t="shared" ref="O85:O93" si="46">IF(H85="","",R85/L85)</f>
        <v/>
      </c>
      <c r="P85" s="428" t="str">
        <f t="shared" ref="P85:P93" si="47">IF(H85="","",(((F85*(D85/E85))-(K85*(I85/J85)*M85))*L85)/K85)</f>
        <v/>
      </c>
      <c r="Q85" s="428" t="str">
        <f t="shared" ref="Q85:Q93" si="48">IF(H85="","",0)</f>
        <v/>
      </c>
      <c r="R85" s="428" t="str">
        <f t="shared" ref="R85:R93" si="49">IF(H85="","",P85-Q85)</f>
        <v/>
      </c>
      <c r="S85" s="428" t="str">
        <f>IF(H85="","",P85*'HVAC References'!$H$12)</f>
        <v/>
      </c>
      <c r="T85" s="428" t="str">
        <f t="shared" ref="T85:T93" si="50">IF(H85="","",0)</f>
        <v/>
      </c>
      <c r="U85" s="428" t="str">
        <f t="shared" ref="U85:U93" si="51">IF(H85="","",S85+T85)</f>
        <v/>
      </c>
      <c r="W85" s="581" t="e">
        <f t="shared" ref="W85:W93" si="52">O85*$K85</f>
        <v>#VALUE!</v>
      </c>
      <c r="X85" s="428" t="e">
        <f t="shared" ref="X85:X93" si="53">P85*$K85</f>
        <v>#VALUE!</v>
      </c>
      <c r="Y85" s="428" t="e">
        <f t="shared" ref="Y85:Y93" si="54">U85*$K85</f>
        <v>#VALUE!</v>
      </c>
      <c r="AA85" s="581" t="str">
        <f>IF(OR(H85="",P85&lt;0),"",'HVAC References'!$C$271)</f>
        <v/>
      </c>
      <c r="AB85" s="805" t="str">
        <f>Ventilation!M36</f>
        <v/>
      </c>
      <c r="AC85" s="805">
        <f>IF(AA85="",0,IF('HVAC References'!$K$12="Yes",INDEX('HVAC References'!$C$269:$F$271,MATCH(AA85,'HVAC References'!$C$269:$C$271,0),3),INDEX('HVAC References'!$C$269:$F$271,MATCH(AA85,'HVAC References'!$C$269:$C$271,0),2)))</f>
        <v>0</v>
      </c>
      <c r="AD85" s="806">
        <f t="shared" si="45"/>
        <v>0</v>
      </c>
      <c r="AE85" s="806">
        <f t="shared" ref="AE85:AE93" si="55">IF(AB85="",0,MIN(AB85*0.7,AD85))</f>
        <v>0</v>
      </c>
    </row>
    <row r="86" spans="1:31" x14ac:dyDescent="0.25">
      <c r="A86" s="429">
        <v>3</v>
      </c>
      <c r="B86" s="428" t="str">
        <f>IF(AA86="","",IF('Customer Information'!$C$16="","",'Customer Information'!$C$16))</f>
        <v/>
      </c>
      <c r="C86" s="428" t="str">
        <f>IF(Ventilation!O37="","",Ventilation!O37)</f>
        <v/>
      </c>
      <c r="D86" s="428" t="str">
        <f>IF(Ventilation!P37="",I86,Ventilation!P37)</f>
        <v/>
      </c>
      <c r="E86" s="428" t="str">
        <f>IF(C86="","",IF(Ventilation!Q37="",INDEX('HVAC References'!$F$342:$G$345,MATCH(C86,'HVAC References'!$F$342:$F$345,0),2),Ventilation!Q37))</f>
        <v/>
      </c>
      <c r="F86" s="428" t="str">
        <f>IF(H86="","",IF(Ventilation!R37="",K86*5,Ventilation!R37))</f>
        <v/>
      </c>
      <c r="H86" s="581" t="str">
        <f>IF(Ventilation!B37="","",Ventilation!B37)</f>
        <v/>
      </c>
      <c r="I86" s="428" t="str">
        <f>IF(Ventilation!D37="","",Ventilation!D37)</f>
        <v/>
      </c>
      <c r="J86" s="428" t="str">
        <f>IF(Ventilation!E37="","",Ventilation!E37)</f>
        <v/>
      </c>
      <c r="K86" s="428" t="str">
        <f>IF(Ventilation!F37="","",Ventilation!F37)</f>
        <v/>
      </c>
      <c r="L86" s="428">
        <f>IF(Ventilation!G37="",'HVAC References'!$C$350,Ventilation!G37)</f>
        <v>4988</v>
      </c>
      <c r="M86" s="428">
        <f>IF(Ventilation!H37="Yes",'HVAC References'!$I$348,'HVAC References'!$I$349)</f>
        <v>1</v>
      </c>
      <c r="O86" s="581" t="str">
        <f t="shared" si="46"/>
        <v/>
      </c>
      <c r="P86" s="428" t="str">
        <f t="shared" si="47"/>
        <v/>
      </c>
      <c r="Q86" s="428" t="str">
        <f t="shared" si="48"/>
        <v/>
      </c>
      <c r="R86" s="428" t="str">
        <f t="shared" si="49"/>
        <v/>
      </c>
      <c r="S86" s="428" t="str">
        <f>IF(H86="","",P86*'HVAC References'!$H$12)</f>
        <v/>
      </c>
      <c r="T86" s="428" t="str">
        <f t="shared" si="50"/>
        <v/>
      </c>
      <c r="U86" s="428" t="str">
        <f t="shared" si="51"/>
        <v/>
      </c>
      <c r="W86" s="581" t="e">
        <f t="shared" si="52"/>
        <v>#VALUE!</v>
      </c>
      <c r="X86" s="428" t="e">
        <f t="shared" si="53"/>
        <v>#VALUE!</v>
      </c>
      <c r="Y86" s="428" t="e">
        <f t="shared" si="54"/>
        <v>#VALUE!</v>
      </c>
      <c r="AA86" s="581" t="str">
        <f>IF(OR(H86="",P86&lt;0),"",'HVAC References'!$C$271)</f>
        <v/>
      </c>
      <c r="AB86" s="805" t="str">
        <f>Ventilation!M37</f>
        <v/>
      </c>
      <c r="AC86" s="805">
        <f>IF(AA86="",0,IF('HVAC References'!$K$12="Yes",INDEX('HVAC References'!$C$269:$F$271,MATCH(AA86,'HVAC References'!$C$269:$C$271,0),3),INDEX('HVAC References'!$C$269:$F$271,MATCH(AA86,'HVAC References'!$C$269:$C$271,0),2)))</f>
        <v>0</v>
      </c>
      <c r="AD86" s="806">
        <f t="shared" si="45"/>
        <v>0</v>
      </c>
      <c r="AE86" s="806">
        <f t="shared" si="55"/>
        <v>0</v>
      </c>
    </row>
    <row r="87" spans="1:31" x14ac:dyDescent="0.25">
      <c r="A87" s="429">
        <v>4</v>
      </c>
      <c r="B87" s="428" t="str">
        <f>IF(AA87="","",IF('Customer Information'!$C$16="","",'Customer Information'!$C$16))</f>
        <v/>
      </c>
      <c r="C87" s="428" t="str">
        <f>IF(Ventilation!O38="","",Ventilation!O38)</f>
        <v/>
      </c>
      <c r="D87" s="428" t="str">
        <f>IF(Ventilation!P38="",I87,Ventilation!P38)</f>
        <v/>
      </c>
      <c r="E87" s="428" t="str">
        <f>IF(C87="","",IF(Ventilation!Q38="",INDEX('HVAC References'!$F$342:$G$345,MATCH(C87,'HVAC References'!$F$342:$F$345,0),2),Ventilation!Q38))</f>
        <v/>
      </c>
      <c r="F87" s="428" t="str">
        <f>IF(H87="","",IF(Ventilation!R38="",K87*5,Ventilation!R38))</f>
        <v/>
      </c>
      <c r="H87" s="581" t="str">
        <f>IF(Ventilation!B38="","",Ventilation!B38)</f>
        <v/>
      </c>
      <c r="I87" s="428" t="str">
        <f>IF(Ventilation!D38="","",Ventilation!D38)</f>
        <v/>
      </c>
      <c r="J87" s="428" t="str">
        <f>IF(Ventilation!E38="","",Ventilation!E38)</f>
        <v/>
      </c>
      <c r="K87" s="428" t="str">
        <f>IF(Ventilation!F38="","",Ventilation!F38)</f>
        <v/>
      </c>
      <c r="L87" s="428">
        <f>IF(Ventilation!G38="",'HVAC References'!$C$350,Ventilation!G38)</f>
        <v>4988</v>
      </c>
      <c r="M87" s="428">
        <f>IF(Ventilation!H38="Yes",'HVAC References'!$I$348,'HVAC References'!$I$349)</f>
        <v>1</v>
      </c>
      <c r="O87" s="581" t="str">
        <f t="shared" si="46"/>
        <v/>
      </c>
      <c r="P87" s="428" t="str">
        <f t="shared" si="47"/>
        <v/>
      </c>
      <c r="Q87" s="428" t="str">
        <f t="shared" si="48"/>
        <v/>
      </c>
      <c r="R87" s="428" t="str">
        <f t="shared" si="49"/>
        <v/>
      </c>
      <c r="S87" s="428" t="str">
        <f>IF(H87="","",P87*'HVAC References'!$H$12)</f>
        <v/>
      </c>
      <c r="T87" s="428" t="str">
        <f t="shared" si="50"/>
        <v/>
      </c>
      <c r="U87" s="428" t="str">
        <f t="shared" si="51"/>
        <v/>
      </c>
      <c r="W87" s="581" t="e">
        <f t="shared" si="52"/>
        <v>#VALUE!</v>
      </c>
      <c r="X87" s="428" t="e">
        <f t="shared" si="53"/>
        <v>#VALUE!</v>
      </c>
      <c r="Y87" s="428" t="e">
        <f t="shared" si="54"/>
        <v>#VALUE!</v>
      </c>
      <c r="AA87" s="581" t="str">
        <f>IF(OR(H87="",P87&lt;0),"",'HVAC References'!$C$271)</f>
        <v/>
      </c>
      <c r="AB87" s="805" t="str">
        <f>Ventilation!M38</f>
        <v/>
      </c>
      <c r="AC87" s="805">
        <f>IF(AA87="",0,IF('HVAC References'!$K$12="Yes",INDEX('HVAC References'!$C$269:$F$271,MATCH(AA87,'HVAC References'!$C$269:$C$271,0),3),INDEX('HVAC References'!$C$269:$F$271,MATCH(AA87,'HVAC References'!$C$269:$C$271,0),2)))</f>
        <v>0</v>
      </c>
      <c r="AD87" s="806">
        <f t="shared" si="45"/>
        <v>0</v>
      </c>
      <c r="AE87" s="806">
        <f t="shared" si="55"/>
        <v>0</v>
      </c>
    </row>
    <row r="88" spans="1:31" x14ac:dyDescent="0.25">
      <c r="A88" s="429">
        <v>5</v>
      </c>
      <c r="B88" s="428" t="str">
        <f>IF(AA88="","",IF('Customer Information'!$C$16="","",'Customer Information'!$C$16))</f>
        <v/>
      </c>
      <c r="C88" s="428" t="str">
        <f>IF(Ventilation!O39="","",Ventilation!O39)</f>
        <v/>
      </c>
      <c r="D88" s="428" t="str">
        <f>IF(Ventilation!P39="",I88,Ventilation!P39)</f>
        <v/>
      </c>
      <c r="E88" s="428" t="str">
        <f>IF(C88="","",IF(Ventilation!Q39="",INDEX('HVAC References'!$F$342:$G$345,MATCH(C88,'HVAC References'!$F$342:$F$345,0),2),Ventilation!Q39))</f>
        <v/>
      </c>
      <c r="F88" s="428" t="str">
        <f>IF(H88="","",IF(Ventilation!R39="",K88*5,Ventilation!R39))</f>
        <v/>
      </c>
      <c r="H88" s="581" t="str">
        <f>IF(Ventilation!B39="","",Ventilation!B39)</f>
        <v/>
      </c>
      <c r="I88" s="428" t="str">
        <f>IF(Ventilation!D39="","",Ventilation!D39)</f>
        <v/>
      </c>
      <c r="J88" s="428" t="str">
        <f>IF(Ventilation!E39="","",Ventilation!E39)</f>
        <v/>
      </c>
      <c r="K88" s="428" t="str">
        <f>IF(Ventilation!F39="","",Ventilation!F39)</f>
        <v/>
      </c>
      <c r="L88" s="428">
        <f>IF(Ventilation!G39="",'HVAC References'!$C$350,Ventilation!G39)</f>
        <v>4988</v>
      </c>
      <c r="M88" s="428">
        <f>IF(Ventilation!H39="Yes",'HVAC References'!$I$348,'HVAC References'!$I$349)</f>
        <v>1</v>
      </c>
      <c r="O88" s="581" t="str">
        <f t="shared" si="46"/>
        <v/>
      </c>
      <c r="P88" s="428" t="str">
        <f t="shared" si="47"/>
        <v/>
      </c>
      <c r="Q88" s="428" t="str">
        <f t="shared" si="48"/>
        <v/>
      </c>
      <c r="R88" s="428" t="str">
        <f t="shared" si="49"/>
        <v/>
      </c>
      <c r="S88" s="428" t="str">
        <f>IF(H88="","",P88*'HVAC References'!$H$12)</f>
        <v/>
      </c>
      <c r="T88" s="428" t="str">
        <f t="shared" si="50"/>
        <v/>
      </c>
      <c r="U88" s="428" t="str">
        <f t="shared" si="51"/>
        <v/>
      </c>
      <c r="W88" s="581" t="e">
        <f t="shared" si="52"/>
        <v>#VALUE!</v>
      </c>
      <c r="X88" s="428" t="e">
        <f t="shared" si="53"/>
        <v>#VALUE!</v>
      </c>
      <c r="Y88" s="428" t="e">
        <f t="shared" si="54"/>
        <v>#VALUE!</v>
      </c>
      <c r="AA88" s="581" t="str">
        <f>IF(OR(H88="",P88&lt;0),"",'HVAC References'!$C$271)</f>
        <v/>
      </c>
      <c r="AB88" s="805" t="str">
        <f>Ventilation!M39</f>
        <v/>
      </c>
      <c r="AC88" s="805">
        <f>IF(AA88="",0,IF('HVAC References'!$K$12="Yes",INDEX('HVAC References'!$C$269:$F$271,MATCH(AA88,'HVAC References'!$C$269:$C$271,0),3),INDEX('HVAC References'!$C$269:$F$271,MATCH(AA88,'HVAC References'!$C$269:$C$271,0),2)))</f>
        <v>0</v>
      </c>
      <c r="AD88" s="806">
        <f t="shared" si="45"/>
        <v>0</v>
      </c>
      <c r="AE88" s="806">
        <f t="shared" si="55"/>
        <v>0</v>
      </c>
    </row>
    <row r="89" spans="1:31" x14ac:dyDescent="0.25">
      <c r="A89" s="429">
        <v>6</v>
      </c>
      <c r="B89" s="428" t="str">
        <f>IF(AA89="","",IF('Customer Information'!$C$16="","",'Customer Information'!$C$16))</f>
        <v/>
      </c>
      <c r="C89" s="428" t="str">
        <f>IF(Ventilation!O40="","",Ventilation!O40)</f>
        <v/>
      </c>
      <c r="D89" s="428" t="str">
        <f>IF(Ventilation!P40="",I89,Ventilation!P40)</f>
        <v/>
      </c>
      <c r="E89" s="428" t="str">
        <f>IF(C89="","",IF(Ventilation!Q40="",INDEX('HVAC References'!$F$342:$G$345,MATCH(C89,'HVAC References'!$F$342:$F$345,0),2),Ventilation!Q40))</f>
        <v/>
      </c>
      <c r="F89" s="428" t="str">
        <f>IF(H89="","",IF(Ventilation!R40="",K89*5,Ventilation!R40))</f>
        <v/>
      </c>
      <c r="H89" s="581" t="str">
        <f>IF(Ventilation!B40="","",Ventilation!B40)</f>
        <v/>
      </c>
      <c r="I89" s="428" t="str">
        <f>IF(Ventilation!D40="","",Ventilation!D40)</f>
        <v/>
      </c>
      <c r="J89" s="428" t="str">
        <f>IF(Ventilation!E40="","",Ventilation!E40)</f>
        <v/>
      </c>
      <c r="K89" s="428" t="str">
        <f>IF(Ventilation!F40="","",Ventilation!F40)</f>
        <v/>
      </c>
      <c r="L89" s="428">
        <f>IF(Ventilation!G40="",'HVAC References'!$C$350,Ventilation!G40)</f>
        <v>4988</v>
      </c>
      <c r="M89" s="428">
        <f>IF(Ventilation!H40="Yes",'HVAC References'!$I$348,'HVAC References'!$I$349)</f>
        <v>1</v>
      </c>
      <c r="O89" s="581" t="str">
        <f t="shared" si="46"/>
        <v/>
      </c>
      <c r="P89" s="428" t="str">
        <f t="shared" si="47"/>
        <v/>
      </c>
      <c r="Q89" s="428" t="str">
        <f t="shared" si="48"/>
        <v/>
      </c>
      <c r="R89" s="428" t="str">
        <f t="shared" si="49"/>
        <v/>
      </c>
      <c r="S89" s="428" t="str">
        <f>IF(H89="","",P89*'HVAC References'!$H$12)</f>
        <v/>
      </c>
      <c r="T89" s="428" t="str">
        <f t="shared" si="50"/>
        <v/>
      </c>
      <c r="U89" s="428" t="str">
        <f t="shared" si="51"/>
        <v/>
      </c>
      <c r="W89" s="581" t="e">
        <f t="shared" si="52"/>
        <v>#VALUE!</v>
      </c>
      <c r="X89" s="428" t="e">
        <f t="shared" si="53"/>
        <v>#VALUE!</v>
      </c>
      <c r="Y89" s="428" t="e">
        <f t="shared" si="54"/>
        <v>#VALUE!</v>
      </c>
      <c r="AA89" s="581" t="str">
        <f>IF(OR(H89="",P89&lt;0),"",'HVAC References'!$C$271)</f>
        <v/>
      </c>
      <c r="AB89" s="805" t="str">
        <f>Ventilation!M40</f>
        <v/>
      </c>
      <c r="AC89" s="805">
        <f>IF(AA89="",0,IF('HVAC References'!$K$12="Yes",INDEX('HVAC References'!$C$269:$F$271,MATCH(AA89,'HVAC References'!$C$269:$C$271,0),3),INDEX('HVAC References'!$C$269:$F$271,MATCH(AA89,'HVAC References'!$C$269:$C$271,0),2)))</f>
        <v>0</v>
      </c>
      <c r="AD89" s="806">
        <f t="shared" si="45"/>
        <v>0</v>
      </c>
      <c r="AE89" s="806">
        <f t="shared" si="55"/>
        <v>0</v>
      </c>
    </row>
    <row r="90" spans="1:31" x14ac:dyDescent="0.25">
      <c r="A90" s="429">
        <v>7</v>
      </c>
      <c r="B90" s="428" t="str">
        <f>IF(AA90="","",IF('Customer Information'!$C$16="","",'Customer Information'!$C$16))</f>
        <v/>
      </c>
      <c r="C90" s="428" t="str">
        <f>IF(Ventilation!O41="","",Ventilation!O41)</f>
        <v/>
      </c>
      <c r="D90" s="428" t="str">
        <f>IF(Ventilation!P41="",I90,Ventilation!P41)</f>
        <v/>
      </c>
      <c r="E90" s="428" t="str">
        <f>IF(C90="","",IF(Ventilation!Q41="",INDEX('HVAC References'!$F$342:$G$345,MATCH(C90,'HVAC References'!$F$342:$F$345,0),2),Ventilation!Q41))</f>
        <v/>
      </c>
      <c r="F90" s="428" t="str">
        <f>IF(H90="","",IF(Ventilation!R41="",K90*5,Ventilation!R41))</f>
        <v/>
      </c>
      <c r="H90" s="581" t="str">
        <f>IF(Ventilation!B41="","",Ventilation!B41)</f>
        <v/>
      </c>
      <c r="I90" s="428" t="str">
        <f>IF(Ventilation!D41="","",Ventilation!D41)</f>
        <v/>
      </c>
      <c r="J90" s="428" t="str">
        <f>IF(Ventilation!E41="","",Ventilation!E41)</f>
        <v/>
      </c>
      <c r="K90" s="428" t="str">
        <f>IF(Ventilation!F41="","",Ventilation!F41)</f>
        <v/>
      </c>
      <c r="L90" s="428">
        <f>IF(Ventilation!G41="",'HVAC References'!$C$350,Ventilation!G41)</f>
        <v>4988</v>
      </c>
      <c r="M90" s="428">
        <f>IF(Ventilation!H41="Yes",'HVAC References'!$I$348,'HVAC References'!$I$349)</f>
        <v>1</v>
      </c>
      <c r="O90" s="581" t="str">
        <f t="shared" si="46"/>
        <v/>
      </c>
      <c r="P90" s="428" t="str">
        <f t="shared" si="47"/>
        <v/>
      </c>
      <c r="Q90" s="428" t="str">
        <f t="shared" si="48"/>
        <v/>
      </c>
      <c r="R90" s="428" t="str">
        <f t="shared" si="49"/>
        <v/>
      </c>
      <c r="S90" s="428" t="str">
        <f>IF(H90="","",P90*'HVAC References'!$H$12)</f>
        <v/>
      </c>
      <c r="T90" s="428" t="str">
        <f t="shared" si="50"/>
        <v/>
      </c>
      <c r="U90" s="428" t="str">
        <f t="shared" si="51"/>
        <v/>
      </c>
      <c r="W90" s="581" t="e">
        <f t="shared" si="52"/>
        <v>#VALUE!</v>
      </c>
      <c r="X90" s="428" t="e">
        <f t="shared" si="53"/>
        <v>#VALUE!</v>
      </c>
      <c r="Y90" s="428" t="e">
        <f t="shared" si="54"/>
        <v>#VALUE!</v>
      </c>
      <c r="AA90" s="581" t="str">
        <f>IF(OR(H90="",P90&lt;0),"",'HVAC References'!$C$271)</f>
        <v/>
      </c>
      <c r="AB90" s="805" t="str">
        <f>Ventilation!M41</f>
        <v/>
      </c>
      <c r="AC90" s="805">
        <f>IF(AA90="",0,IF('HVAC References'!$K$12="Yes",INDEX('HVAC References'!$C$269:$F$271,MATCH(AA90,'HVAC References'!$C$269:$C$271,0),3),INDEX('HVAC References'!$C$269:$F$271,MATCH(AA90,'HVAC References'!$C$269:$C$271,0),2)))</f>
        <v>0</v>
      </c>
      <c r="AD90" s="806">
        <f t="shared" si="45"/>
        <v>0</v>
      </c>
      <c r="AE90" s="806">
        <f t="shared" si="55"/>
        <v>0</v>
      </c>
    </row>
    <row r="91" spans="1:31" x14ac:dyDescent="0.25">
      <c r="A91" s="429">
        <v>8</v>
      </c>
      <c r="B91" s="428" t="str">
        <f>IF(AA91="","",IF('Customer Information'!$C$16="","",'Customer Information'!$C$16))</f>
        <v/>
      </c>
      <c r="C91" s="428" t="str">
        <f>IF(Ventilation!O42="","",Ventilation!O42)</f>
        <v/>
      </c>
      <c r="D91" s="428" t="str">
        <f>IF(Ventilation!P42="",I91,Ventilation!P42)</f>
        <v/>
      </c>
      <c r="E91" s="428" t="str">
        <f>IF(C91="","",IF(Ventilation!Q42="",INDEX('HVAC References'!$F$342:$G$345,MATCH(C91,'HVAC References'!$F$342:$F$345,0),2),Ventilation!Q42))</f>
        <v/>
      </c>
      <c r="F91" s="428" t="str">
        <f>IF(H91="","",IF(Ventilation!R42="",K91*5,Ventilation!R42))</f>
        <v/>
      </c>
      <c r="H91" s="581" t="str">
        <f>IF(Ventilation!B42="","",Ventilation!B42)</f>
        <v/>
      </c>
      <c r="I91" s="428" t="str">
        <f>IF(Ventilation!D42="","",Ventilation!D42)</f>
        <v/>
      </c>
      <c r="J91" s="428" t="str">
        <f>IF(Ventilation!E42="","",Ventilation!E42)</f>
        <v/>
      </c>
      <c r="K91" s="428" t="str">
        <f>IF(Ventilation!F42="","",Ventilation!F42)</f>
        <v/>
      </c>
      <c r="L91" s="428">
        <f>IF(Ventilation!G42="",'HVAC References'!$C$350,Ventilation!G42)</f>
        <v>4988</v>
      </c>
      <c r="M91" s="428">
        <f>IF(Ventilation!H42="Yes",'HVAC References'!$I$348,'HVAC References'!$I$349)</f>
        <v>1</v>
      </c>
      <c r="O91" s="581" t="str">
        <f t="shared" si="46"/>
        <v/>
      </c>
      <c r="P91" s="428" t="str">
        <f t="shared" si="47"/>
        <v/>
      </c>
      <c r="Q91" s="428" t="str">
        <f t="shared" si="48"/>
        <v/>
      </c>
      <c r="R91" s="428" t="str">
        <f t="shared" si="49"/>
        <v/>
      </c>
      <c r="S91" s="428" t="str">
        <f>IF(H91="","",P91*'HVAC References'!$H$12)</f>
        <v/>
      </c>
      <c r="T91" s="428" t="str">
        <f t="shared" si="50"/>
        <v/>
      </c>
      <c r="U91" s="428" t="str">
        <f t="shared" si="51"/>
        <v/>
      </c>
      <c r="W91" s="581" t="e">
        <f t="shared" si="52"/>
        <v>#VALUE!</v>
      </c>
      <c r="X91" s="428" t="e">
        <f t="shared" si="53"/>
        <v>#VALUE!</v>
      </c>
      <c r="Y91" s="428" t="e">
        <f t="shared" si="54"/>
        <v>#VALUE!</v>
      </c>
      <c r="AA91" s="581" t="str">
        <f>IF(OR(H91="",P91&lt;0),"",'HVAC References'!$C$271)</f>
        <v/>
      </c>
      <c r="AB91" s="805" t="str">
        <f>Ventilation!M42</f>
        <v/>
      </c>
      <c r="AC91" s="805">
        <f>IF(AA91="",0,IF('HVAC References'!$K$12="Yes",INDEX('HVAC References'!$C$269:$F$271,MATCH(AA91,'HVAC References'!$C$269:$C$271,0),3),INDEX('HVAC References'!$C$269:$F$271,MATCH(AA91,'HVAC References'!$C$269:$C$271,0),2)))</f>
        <v>0</v>
      </c>
      <c r="AD91" s="806">
        <f t="shared" si="45"/>
        <v>0</v>
      </c>
      <c r="AE91" s="806">
        <f t="shared" si="55"/>
        <v>0</v>
      </c>
    </row>
    <row r="92" spans="1:31" x14ac:dyDescent="0.25">
      <c r="A92" s="429">
        <v>9</v>
      </c>
      <c r="B92" s="428" t="str">
        <f>IF(AA92="","",IF('Customer Information'!$C$16="","",'Customer Information'!$C$16))</f>
        <v/>
      </c>
      <c r="C92" s="428" t="str">
        <f>IF(Ventilation!O43="","",Ventilation!O43)</f>
        <v/>
      </c>
      <c r="D92" s="428" t="str">
        <f>IF(Ventilation!P43="",I92,Ventilation!P43)</f>
        <v/>
      </c>
      <c r="E92" s="428" t="str">
        <f>IF(C92="","",IF(Ventilation!Q43="",INDEX('HVAC References'!$F$342:$G$345,MATCH(C92,'HVAC References'!$F$342:$F$345,0),2),Ventilation!Q43))</f>
        <v/>
      </c>
      <c r="F92" s="428" t="str">
        <f>IF(H92="","",IF(Ventilation!R43="",K92*5,Ventilation!R43))</f>
        <v/>
      </c>
      <c r="H92" s="581" t="str">
        <f>IF(Ventilation!B43="","",Ventilation!B43)</f>
        <v/>
      </c>
      <c r="I92" s="428" t="str">
        <f>IF(Ventilation!D43="","",Ventilation!D43)</f>
        <v/>
      </c>
      <c r="J92" s="428" t="str">
        <f>IF(Ventilation!E43="","",Ventilation!E43)</f>
        <v/>
      </c>
      <c r="K92" s="428" t="str">
        <f>IF(Ventilation!F43="","",Ventilation!F43)</f>
        <v/>
      </c>
      <c r="L92" s="428">
        <f>IF(Ventilation!G43="",'HVAC References'!$C$350,Ventilation!G43)</f>
        <v>4988</v>
      </c>
      <c r="M92" s="428">
        <f>IF(Ventilation!H43="Yes",'HVAC References'!$I$348,'HVAC References'!$I$349)</f>
        <v>1</v>
      </c>
      <c r="O92" s="581" t="str">
        <f t="shared" si="46"/>
        <v/>
      </c>
      <c r="P92" s="428" t="str">
        <f t="shared" si="47"/>
        <v/>
      </c>
      <c r="Q92" s="428" t="str">
        <f t="shared" si="48"/>
        <v/>
      </c>
      <c r="R92" s="428" t="str">
        <f t="shared" si="49"/>
        <v/>
      </c>
      <c r="S92" s="428" t="str">
        <f>IF(H92="","",P92*'HVAC References'!$H$12)</f>
        <v/>
      </c>
      <c r="T92" s="428" t="str">
        <f t="shared" si="50"/>
        <v/>
      </c>
      <c r="U92" s="428" t="str">
        <f t="shared" si="51"/>
        <v/>
      </c>
      <c r="W92" s="581" t="e">
        <f t="shared" si="52"/>
        <v>#VALUE!</v>
      </c>
      <c r="X92" s="428" t="e">
        <f t="shared" si="53"/>
        <v>#VALUE!</v>
      </c>
      <c r="Y92" s="428" t="e">
        <f t="shared" si="54"/>
        <v>#VALUE!</v>
      </c>
      <c r="AA92" s="581" t="str">
        <f>IF(OR(H92="",P92&lt;0),"",'HVAC References'!$C$271)</f>
        <v/>
      </c>
      <c r="AB92" s="805" t="str">
        <f>Ventilation!M43</f>
        <v/>
      </c>
      <c r="AC92" s="805">
        <f>IF(AA92="",0,IF('HVAC References'!$K$12="Yes",INDEX('HVAC References'!$C$269:$F$271,MATCH(AA92,'HVAC References'!$C$269:$C$271,0),3),INDEX('HVAC References'!$C$269:$F$271,MATCH(AA92,'HVAC References'!$C$269:$C$271,0),2)))</f>
        <v>0</v>
      </c>
      <c r="AD92" s="806">
        <f t="shared" si="45"/>
        <v>0</v>
      </c>
      <c r="AE92" s="806">
        <f t="shared" si="55"/>
        <v>0</v>
      </c>
    </row>
    <row r="93" spans="1:31" ht="15.75" thickBot="1" x14ac:dyDescent="0.3">
      <c r="A93" s="430">
        <v>10</v>
      </c>
      <c r="B93" s="431" t="str">
        <f>IF(AA93="","",IF('Customer Information'!$C$16="","",'Customer Information'!$C$16))</f>
        <v/>
      </c>
      <c r="C93" s="431" t="str">
        <f>IF(Ventilation!O44="","",Ventilation!O44)</f>
        <v/>
      </c>
      <c r="D93" s="431" t="str">
        <f>IF(Ventilation!P44="",I93,Ventilation!P44)</f>
        <v/>
      </c>
      <c r="E93" s="431" t="str">
        <f>IF(C93="","",IF(Ventilation!Q44="",INDEX('HVAC References'!$F$342:$G$345,MATCH(C93,'HVAC References'!$F$342:$F$345,0),2),Ventilation!Q44))</f>
        <v/>
      </c>
      <c r="F93" s="431" t="str">
        <f>IF(H93="","",IF(Ventilation!R44="",K93*5,Ventilation!R44))</f>
        <v/>
      </c>
      <c r="H93" s="582" t="str">
        <f>IF(Ventilation!B44="","",Ventilation!B44)</f>
        <v/>
      </c>
      <c r="I93" s="431" t="str">
        <f>IF(Ventilation!D44="","",Ventilation!D44)</f>
        <v/>
      </c>
      <c r="J93" s="431" t="str">
        <f>IF(Ventilation!E44="","",Ventilation!E44)</f>
        <v/>
      </c>
      <c r="K93" s="431" t="str">
        <f>IF(Ventilation!F44="","",Ventilation!F44)</f>
        <v/>
      </c>
      <c r="L93" s="431">
        <f>IF(Ventilation!G44="",'HVAC References'!$C$350,Ventilation!G44)</f>
        <v>4988</v>
      </c>
      <c r="M93" s="431">
        <f>IF(Ventilation!H44="Yes",'HVAC References'!$I$348,'HVAC References'!$I$349)</f>
        <v>1</v>
      </c>
      <c r="O93" s="582" t="str">
        <f t="shared" si="46"/>
        <v/>
      </c>
      <c r="P93" s="431" t="str">
        <f t="shared" si="47"/>
        <v/>
      </c>
      <c r="Q93" s="431" t="str">
        <f t="shared" si="48"/>
        <v/>
      </c>
      <c r="R93" s="431" t="str">
        <f t="shared" si="49"/>
        <v/>
      </c>
      <c r="S93" s="431" t="str">
        <f>IF(H93="","",P93*'HVAC References'!$H$12)</f>
        <v/>
      </c>
      <c r="T93" s="431" t="str">
        <f t="shared" si="50"/>
        <v/>
      </c>
      <c r="U93" s="431" t="str">
        <f t="shared" si="51"/>
        <v/>
      </c>
      <c r="W93" s="582" t="e">
        <f t="shared" si="52"/>
        <v>#VALUE!</v>
      </c>
      <c r="X93" s="431" t="e">
        <f t="shared" si="53"/>
        <v>#VALUE!</v>
      </c>
      <c r="Y93" s="431" t="e">
        <f t="shared" si="54"/>
        <v>#VALUE!</v>
      </c>
      <c r="AA93" s="582" t="str">
        <f>IF(OR(H93="",P93&lt;0),"",'HVAC References'!$C$271)</f>
        <v/>
      </c>
      <c r="AB93" s="807" t="str">
        <f>Ventilation!M44</f>
        <v/>
      </c>
      <c r="AC93" s="807">
        <f>IF(AA93="",0,IF('HVAC References'!$K$12="Yes",INDEX('HVAC References'!$C$269:$F$271,MATCH(AA93,'HVAC References'!$C$269:$C$271,0),3),INDEX('HVAC References'!$C$269:$F$271,MATCH(AA93,'HVAC References'!$C$269:$C$271,0),2)))</f>
        <v>0</v>
      </c>
      <c r="AD93" s="808">
        <f t="shared" si="45"/>
        <v>0</v>
      </c>
      <c r="AE93" s="808">
        <f t="shared" si="55"/>
        <v>0</v>
      </c>
    </row>
    <row r="95" spans="1:31" ht="28.5" x14ac:dyDescent="0.45">
      <c r="A95" s="575" t="s">
        <v>1890</v>
      </c>
    </row>
    <row r="96" spans="1:31" ht="15.75" thickBot="1" x14ac:dyDescent="0.3"/>
    <row r="97" spans="1:24" ht="15.75" thickBot="1" x14ac:dyDescent="0.3">
      <c r="A97" s="1260" t="s">
        <v>1492</v>
      </c>
      <c r="B97" s="1261"/>
      <c r="C97" s="1262"/>
      <c r="E97" s="1260" t="s">
        <v>1637</v>
      </c>
      <c r="F97" s="1261"/>
      <c r="G97" s="1262"/>
      <c r="I97" s="1260" t="s">
        <v>1568</v>
      </c>
      <c r="J97" s="1261"/>
      <c r="K97" s="1261"/>
      <c r="L97" s="1261"/>
      <c r="M97" s="1261"/>
      <c r="N97" s="1261"/>
      <c r="O97" s="1262"/>
      <c r="Q97" s="1260" t="s">
        <v>1917</v>
      </c>
      <c r="R97" s="1261"/>
      <c r="S97" s="1262"/>
      <c r="U97" s="1260" t="s">
        <v>1849</v>
      </c>
      <c r="V97" s="1261"/>
      <c r="W97" s="1261"/>
      <c r="X97" s="1262"/>
    </row>
    <row r="98" spans="1:24" ht="15.75" thickBot="1" x14ac:dyDescent="0.3">
      <c r="A98" s="583" t="s">
        <v>1543</v>
      </c>
      <c r="B98" s="408" t="s">
        <v>16</v>
      </c>
      <c r="C98" s="408" t="s">
        <v>1869</v>
      </c>
      <c r="E98" s="408" t="s">
        <v>1870</v>
      </c>
      <c r="F98" s="408" t="s">
        <v>1871</v>
      </c>
      <c r="G98" s="408" t="s">
        <v>1872</v>
      </c>
      <c r="I98" s="408" t="s">
        <v>1561</v>
      </c>
      <c r="J98" s="408" t="s">
        <v>1562</v>
      </c>
      <c r="K98" s="408" t="s">
        <v>1563</v>
      </c>
      <c r="L98" s="408" t="s">
        <v>1564</v>
      </c>
      <c r="M98" s="408" t="s">
        <v>1565</v>
      </c>
      <c r="N98" s="408" t="s">
        <v>1566</v>
      </c>
      <c r="O98" s="408" t="s">
        <v>1567</v>
      </c>
      <c r="Q98" s="408" t="s">
        <v>1561</v>
      </c>
      <c r="R98" s="408" t="s">
        <v>1918</v>
      </c>
      <c r="S98" s="408" t="s">
        <v>1919</v>
      </c>
      <c r="U98" s="583" t="s">
        <v>267</v>
      </c>
      <c r="V98" s="809" t="s">
        <v>1857</v>
      </c>
      <c r="W98" s="810" t="s">
        <v>1571</v>
      </c>
      <c r="X98" s="810" t="s">
        <v>1858</v>
      </c>
    </row>
    <row r="99" spans="1:24" x14ac:dyDescent="0.25">
      <c r="A99" s="432">
        <v>1</v>
      </c>
      <c r="B99" s="433" t="str">
        <f>IF(Ventilation!B51="","",Ventilation!B51)</f>
        <v/>
      </c>
      <c r="C99" s="433" t="str">
        <f>IF(Ventilation!C51="","",Ventilation!C51)</f>
        <v/>
      </c>
      <c r="E99" s="437" t="str">
        <f>IF(AND($B99="",$C99=""),"",'HVAC References'!$C$369)</f>
        <v/>
      </c>
      <c r="F99" s="433" t="str">
        <f>IF(AND($B99="",$C99=""),"",'HVAC References'!$C$370)</f>
        <v/>
      </c>
      <c r="G99" s="433" t="str">
        <f>IF(AND($B99="",$C99=""),"",'HVAC References'!$C$371)</f>
        <v/>
      </c>
      <c r="I99" s="579" t="str">
        <f>IF(E99="","",(C99*E99))</f>
        <v/>
      </c>
      <c r="J99" s="580" t="str">
        <f>IF(F99="","",(C99*F99))</f>
        <v/>
      </c>
      <c r="K99" s="580" t="str">
        <f>IF(F99="","",0)</f>
        <v/>
      </c>
      <c r="L99" s="580" t="str">
        <f>IF(F99="","",J99-K99)</f>
        <v/>
      </c>
      <c r="M99" s="580" t="str">
        <f>IF(G99="","",(C99*G99)+(J99*'HVAC References'!$H$12))</f>
        <v/>
      </c>
      <c r="N99" s="580" t="str">
        <f>IF(G99="","",0)</f>
        <v/>
      </c>
      <c r="O99" s="580" t="str">
        <f>IF(F99="","",M99+N99)</f>
        <v/>
      </c>
      <c r="Q99" s="579" t="e">
        <f>I99*$B99</f>
        <v>#VALUE!</v>
      </c>
      <c r="R99" s="580" t="e">
        <f>L99*$B99</f>
        <v>#VALUE!</v>
      </c>
      <c r="S99" s="580" t="e">
        <f>O99*$B99</f>
        <v>#VALUE!</v>
      </c>
      <c r="U99" s="437" t="str">
        <f>IF(AND($B99="",$C99=""),"",'HVAC References'!$C$272)</f>
        <v/>
      </c>
      <c r="V99" s="571">
        <f>Ventilation!G51</f>
        <v>0</v>
      </c>
      <c r="W99" s="441">
        <f>IF(B99="",0,B99*IF('HVAC References'!K12="Yes",'HVAC References'!$E$272,'HVAC References'!$D$272))</f>
        <v>0</v>
      </c>
      <c r="X99" s="441">
        <f>IF(V99="","",MIN(V99*0.7,W99))</f>
        <v>0</v>
      </c>
    </row>
    <row r="100" spans="1:24" x14ac:dyDescent="0.25">
      <c r="A100" s="429">
        <v>2</v>
      </c>
      <c r="B100" s="428" t="str">
        <f>IF(Ventilation!B52="","",Ventilation!B52)</f>
        <v/>
      </c>
      <c r="C100" s="428" t="str">
        <f>IF(Ventilation!C52="","",Ventilation!C52)</f>
        <v/>
      </c>
      <c r="E100" s="581" t="str">
        <f>IF(AND($B100="",$C100=""),"",'HVAC References'!$C$369)</f>
        <v/>
      </c>
      <c r="F100" s="428" t="str">
        <f>IF(AND($B100="",$C100=""),"",'HVAC References'!$C$370)</f>
        <v/>
      </c>
      <c r="G100" s="428" t="str">
        <f>IF(AND($B100="",$C100=""),"",'HVAC References'!$C$371)</f>
        <v/>
      </c>
      <c r="I100" s="581" t="str">
        <f t="shared" ref="I100:I103" si="56">IF(E100="","",(C100*E100))</f>
        <v/>
      </c>
      <c r="J100" s="428" t="str">
        <f t="shared" ref="J100:J103" si="57">IF(F100="","",(C100*F100))</f>
        <v/>
      </c>
      <c r="K100" s="428" t="str">
        <f t="shared" ref="K100:K103" si="58">IF(F100="","",0)</f>
        <v/>
      </c>
      <c r="L100" s="428" t="str">
        <f t="shared" ref="L100:L103" si="59">IF(F100="","",J100-K100)</f>
        <v/>
      </c>
      <c r="M100" s="428" t="str">
        <f>IF(G100="","",(C100*G100)+(J100*'HVAC References'!$H$12))</f>
        <v/>
      </c>
      <c r="N100" s="428" t="str">
        <f t="shared" ref="N100:N103" si="60">IF(G100="","",0)</f>
        <v/>
      </c>
      <c r="O100" s="428" t="str">
        <f t="shared" ref="O100:O103" si="61">IF(F100="","",M100+N100)</f>
        <v/>
      </c>
      <c r="Q100" s="581" t="e">
        <f t="shared" ref="Q100:Q103" si="62">I100*$B100</f>
        <v>#VALUE!</v>
      </c>
      <c r="R100" s="428" t="e">
        <f t="shared" ref="R100:R103" si="63">L100*$B100</f>
        <v>#VALUE!</v>
      </c>
      <c r="S100" s="428" t="e">
        <f t="shared" ref="S100:S103" si="64">O100*$B100</f>
        <v>#VALUE!</v>
      </c>
      <c r="U100" s="581" t="str">
        <f>IF(AND($B100="",$C100=""),"",'HVAC References'!$C$272)</f>
        <v/>
      </c>
      <c r="V100" s="805">
        <f>Ventilation!G52</f>
        <v>0</v>
      </c>
      <c r="W100" s="806">
        <f>IF(B100="",0,B100*IF('HVAC References'!K13="Yes",'HVAC References'!$E$272,'HVAC References'!$D$272))</f>
        <v>0</v>
      </c>
      <c r="X100" s="806">
        <f t="shared" ref="X100:X103" si="65">IF(V100="","",MIN(V100*0.7,W100))</f>
        <v>0</v>
      </c>
    </row>
    <row r="101" spans="1:24" x14ac:dyDescent="0.25">
      <c r="A101" s="429">
        <v>3</v>
      </c>
      <c r="B101" s="428" t="str">
        <f>IF(Ventilation!B53="","",Ventilation!B53)</f>
        <v/>
      </c>
      <c r="C101" s="428" t="str">
        <f>IF(Ventilation!C53="","",Ventilation!C53)</f>
        <v/>
      </c>
      <c r="E101" s="581" t="str">
        <f>IF(AND($B101="",$C101=""),"",'HVAC References'!$C$369)</f>
        <v/>
      </c>
      <c r="F101" s="428" t="str">
        <f>IF(AND($B101="",$C101=""),"",'HVAC References'!$C$370)</f>
        <v/>
      </c>
      <c r="G101" s="428" t="str">
        <f>IF(AND($B101="",$C101=""),"",'HVAC References'!$C$371)</f>
        <v/>
      </c>
      <c r="I101" s="581" t="str">
        <f t="shared" si="56"/>
        <v/>
      </c>
      <c r="J101" s="428" t="str">
        <f t="shared" si="57"/>
        <v/>
      </c>
      <c r="K101" s="428" t="str">
        <f t="shared" si="58"/>
        <v/>
      </c>
      <c r="L101" s="428" t="str">
        <f t="shared" si="59"/>
        <v/>
      </c>
      <c r="M101" s="428" t="str">
        <f>IF(G101="","",(C101*G101)+(J101*'HVAC References'!$H$12))</f>
        <v/>
      </c>
      <c r="N101" s="428" t="str">
        <f t="shared" si="60"/>
        <v/>
      </c>
      <c r="O101" s="428" t="str">
        <f t="shared" si="61"/>
        <v/>
      </c>
      <c r="Q101" s="581" t="e">
        <f t="shared" si="62"/>
        <v>#VALUE!</v>
      </c>
      <c r="R101" s="428" t="e">
        <f t="shared" si="63"/>
        <v>#VALUE!</v>
      </c>
      <c r="S101" s="428" t="e">
        <f t="shared" si="64"/>
        <v>#VALUE!</v>
      </c>
      <c r="U101" s="581" t="str">
        <f>IF(AND($B101="",$C101=""),"",'HVAC References'!$C$272)</f>
        <v/>
      </c>
      <c r="V101" s="805">
        <f>Ventilation!G53</f>
        <v>0</v>
      </c>
      <c r="W101" s="806">
        <f>IF(B101="",0,B101*IF('HVAC References'!K14="Yes",'HVAC References'!$E$272,'HVAC References'!$D$272))</f>
        <v>0</v>
      </c>
      <c r="X101" s="806">
        <f t="shared" si="65"/>
        <v>0</v>
      </c>
    </row>
    <row r="102" spans="1:24" x14ac:dyDescent="0.25">
      <c r="A102" s="429">
        <v>4</v>
      </c>
      <c r="B102" s="428" t="str">
        <f>IF(Ventilation!B54="","",Ventilation!B54)</f>
        <v/>
      </c>
      <c r="C102" s="428" t="str">
        <f>IF(Ventilation!C54="","",Ventilation!C54)</f>
        <v/>
      </c>
      <c r="E102" s="581" t="str">
        <f>IF(AND($B102="",$C102=""),"",'HVAC References'!$C$369)</f>
        <v/>
      </c>
      <c r="F102" s="428" t="str">
        <f>IF(AND($B102="",$C102=""),"",'HVAC References'!$C$370)</f>
        <v/>
      </c>
      <c r="G102" s="428" t="str">
        <f>IF(AND($B102="",$C102=""),"",'HVAC References'!$C$371)</f>
        <v/>
      </c>
      <c r="I102" s="581" t="str">
        <f t="shared" si="56"/>
        <v/>
      </c>
      <c r="J102" s="428" t="str">
        <f t="shared" si="57"/>
        <v/>
      </c>
      <c r="K102" s="428" t="str">
        <f t="shared" si="58"/>
        <v/>
      </c>
      <c r="L102" s="428" t="str">
        <f t="shared" si="59"/>
        <v/>
      </c>
      <c r="M102" s="428" t="str">
        <f>IF(G102="","",(C102*G102)+(J102*'HVAC References'!$H$12))</f>
        <v/>
      </c>
      <c r="N102" s="428" t="str">
        <f t="shared" si="60"/>
        <v/>
      </c>
      <c r="O102" s="428" t="str">
        <f t="shared" si="61"/>
        <v/>
      </c>
      <c r="Q102" s="581" t="e">
        <f t="shared" si="62"/>
        <v>#VALUE!</v>
      </c>
      <c r="R102" s="428" t="e">
        <f t="shared" si="63"/>
        <v>#VALUE!</v>
      </c>
      <c r="S102" s="428" t="e">
        <f t="shared" si="64"/>
        <v>#VALUE!</v>
      </c>
      <c r="U102" s="581" t="str">
        <f>IF(AND($B102="",$C102=""),"",'HVAC References'!$C$272)</f>
        <v/>
      </c>
      <c r="V102" s="805">
        <f>Ventilation!G54</f>
        <v>0</v>
      </c>
      <c r="W102" s="806">
        <f>IF(B102="",0,B102*IF('HVAC References'!K15="Yes",'HVAC References'!$E$272,'HVAC References'!$D$272))</f>
        <v>0</v>
      </c>
      <c r="X102" s="806">
        <f t="shared" si="65"/>
        <v>0</v>
      </c>
    </row>
    <row r="103" spans="1:24" ht="15.75" thickBot="1" x14ac:dyDescent="0.3">
      <c r="A103" s="430">
        <v>5</v>
      </c>
      <c r="B103" s="431" t="str">
        <f>IF(Ventilation!B55="","",Ventilation!B55)</f>
        <v/>
      </c>
      <c r="C103" s="431" t="str">
        <f>IF(Ventilation!C55="","",Ventilation!C55)</f>
        <v/>
      </c>
      <c r="E103" s="582" t="str">
        <f>IF(AND($B103="",$C103=""),"",'HVAC References'!$C$369)</f>
        <v/>
      </c>
      <c r="F103" s="431" t="str">
        <f>IF(AND($B103="",$C103=""),"",'HVAC References'!$C$370)</f>
        <v/>
      </c>
      <c r="G103" s="431" t="str">
        <f>IF(AND($B103="",$C103=""),"",'HVAC References'!$C$371)</f>
        <v/>
      </c>
      <c r="I103" s="582" t="str">
        <f t="shared" si="56"/>
        <v/>
      </c>
      <c r="J103" s="431" t="str">
        <f t="shared" si="57"/>
        <v/>
      </c>
      <c r="K103" s="431" t="str">
        <f t="shared" si="58"/>
        <v/>
      </c>
      <c r="L103" s="431" t="str">
        <f t="shared" si="59"/>
        <v/>
      </c>
      <c r="M103" s="431" t="str">
        <f>IF(G103="","",(C103*G103)+(J103*'HVAC References'!$H$12))</f>
        <v/>
      </c>
      <c r="N103" s="431" t="str">
        <f t="shared" si="60"/>
        <v/>
      </c>
      <c r="O103" s="431" t="str">
        <f t="shared" si="61"/>
        <v/>
      </c>
      <c r="Q103" s="582" t="e">
        <f t="shared" si="62"/>
        <v>#VALUE!</v>
      </c>
      <c r="R103" s="431" t="e">
        <f t="shared" si="63"/>
        <v>#VALUE!</v>
      </c>
      <c r="S103" s="431" t="e">
        <f t="shared" si="64"/>
        <v>#VALUE!</v>
      </c>
      <c r="U103" s="582" t="str">
        <f>IF(AND($B103="",$C103=""),"",'HVAC References'!$C$272)</f>
        <v/>
      </c>
      <c r="V103" s="807">
        <f>Ventilation!G55</f>
        <v>0</v>
      </c>
      <c r="W103" s="808">
        <f>IF(B103="",0,B103*IF('HVAC References'!K16="Yes",'HVAC References'!$E$272,'HVAC References'!$D$272))</f>
        <v>0</v>
      </c>
      <c r="X103" s="808">
        <f t="shared" si="65"/>
        <v>0</v>
      </c>
    </row>
  </sheetData>
  <mergeCells count="26">
    <mergeCell ref="A35:K35"/>
    <mergeCell ref="AI4:AR4"/>
    <mergeCell ref="BB6:BB30"/>
    <mergeCell ref="A4:K4"/>
    <mergeCell ref="M4:AG4"/>
    <mergeCell ref="AJ66:AN66"/>
    <mergeCell ref="AA82:AE82"/>
    <mergeCell ref="J66:P66"/>
    <mergeCell ref="R66:W66"/>
    <mergeCell ref="A82:F82"/>
    <mergeCell ref="H82:M82"/>
    <mergeCell ref="O82:U82"/>
    <mergeCell ref="A66:H66"/>
    <mergeCell ref="W82:Y82"/>
    <mergeCell ref="BE35:BH35"/>
    <mergeCell ref="BH37:BH61"/>
    <mergeCell ref="M35:T35"/>
    <mergeCell ref="Z36:AA36"/>
    <mergeCell ref="V35:AE35"/>
    <mergeCell ref="AU35:BC35"/>
    <mergeCell ref="AG35:AS35"/>
    <mergeCell ref="Q97:S97"/>
    <mergeCell ref="U97:X97"/>
    <mergeCell ref="A97:C97"/>
    <mergeCell ref="E97:G97"/>
    <mergeCell ref="I97:O97"/>
  </mergeCells>
  <pageMargins left="0.7" right="0.7" top="0.75" bottom="0.75" header="0.3" footer="0.3"/>
  <ignoredErrors>
    <ignoredError sqref="S6:Y30 AH7:AH30 C6:E6 AH6:AI6 AO6:AP6 AR6 C7:E30 H30:I30 H7:H29 L6:Q30 H6" unlockedFormula="1"/>
  </ignoredErrors>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0F933-5291-4A59-8117-7BBD7F8ED0B2}">
  <sheetPr codeName="Sheet3">
    <tabColor rgb="FFC00000"/>
  </sheetPr>
  <dimension ref="A1:AB372"/>
  <sheetViews>
    <sheetView showGridLines="0" topLeftCell="C175" zoomScale="80" zoomScaleNormal="80" workbookViewId="0">
      <selection activeCell="H185" sqref="H185:I188"/>
    </sheetView>
  </sheetViews>
  <sheetFormatPr defaultRowHeight="15" x14ac:dyDescent="0.25"/>
  <cols>
    <col min="2" max="2" width="47.7109375" customWidth="1"/>
    <col min="3" max="3" width="56.5703125" bestFit="1" customWidth="1"/>
    <col min="4" max="4" width="44.140625" bestFit="1" customWidth="1"/>
    <col min="5" max="5" width="61.7109375" customWidth="1"/>
    <col min="6" max="6" width="50.85546875" bestFit="1" customWidth="1"/>
    <col min="7" max="7" width="44.140625" customWidth="1"/>
    <col min="8" max="8" width="37.7109375" customWidth="1"/>
    <col min="9" max="9" width="29" customWidth="1"/>
    <col min="10" max="12" width="42.140625" customWidth="1"/>
    <col min="13" max="13" width="18.85546875" customWidth="1"/>
    <col min="14" max="14" width="50.28515625" bestFit="1" customWidth="1"/>
    <col min="15" max="15" width="21.7109375" customWidth="1"/>
    <col min="16" max="16" width="27" bestFit="1" customWidth="1"/>
    <col min="17" max="17" width="18.5703125" bestFit="1" customWidth="1"/>
    <col min="18" max="18" width="59.42578125" bestFit="1" customWidth="1"/>
    <col min="19" max="19" width="24.5703125" bestFit="1" customWidth="1"/>
    <col min="20" max="20" width="32.7109375" bestFit="1" customWidth="1"/>
    <col min="21" max="21" width="18" bestFit="1" customWidth="1"/>
    <col min="22" max="22" width="23.5703125" customWidth="1"/>
    <col min="24" max="24" width="12.5703125" bestFit="1" customWidth="1"/>
    <col min="26" max="26" width="13.42578125" customWidth="1"/>
    <col min="27" max="27" width="9.5703125" customWidth="1"/>
    <col min="28" max="28" width="12.85546875" bestFit="1" customWidth="1"/>
  </cols>
  <sheetData>
    <row r="1" spans="1:13" x14ac:dyDescent="0.25">
      <c r="A1" t="s">
        <v>1490</v>
      </c>
    </row>
    <row r="2" spans="1:13" ht="15.75" thickBot="1" x14ac:dyDescent="0.3">
      <c r="H2" s="216" t="s">
        <v>1056</v>
      </c>
      <c r="J2" s="231" t="s">
        <v>957</v>
      </c>
    </row>
    <row r="3" spans="1:13" ht="15.75" thickBot="1" x14ac:dyDescent="0.3">
      <c r="A3" s="569"/>
      <c r="B3" s="1260" t="s">
        <v>1839</v>
      </c>
      <c r="C3" s="1261"/>
      <c r="D3" s="1262"/>
      <c r="E3" s="811" t="s">
        <v>51</v>
      </c>
      <c r="F3" s="416" t="s">
        <v>1176</v>
      </c>
      <c r="H3" s="217" t="s">
        <v>689</v>
      </c>
      <c r="J3" s="252">
        <v>6</v>
      </c>
    </row>
    <row r="4" spans="1:13" ht="17.25" thickBot="1" x14ac:dyDescent="0.35">
      <c r="A4" s="569"/>
      <c r="B4" s="410" t="s">
        <v>51</v>
      </c>
      <c r="C4" s="409" t="s">
        <v>1536</v>
      </c>
      <c r="D4" s="416" t="s">
        <v>1537</v>
      </c>
      <c r="E4" s="366" t="s">
        <v>1116</v>
      </c>
      <c r="F4" s="419" t="s">
        <v>746</v>
      </c>
      <c r="H4" s="273">
        <v>1.3409629999999999</v>
      </c>
      <c r="J4" s="2"/>
    </row>
    <row r="5" spans="1:13" x14ac:dyDescent="0.25">
      <c r="A5" s="569"/>
      <c r="B5" s="411" t="s">
        <v>790</v>
      </c>
      <c r="C5" s="418">
        <v>621</v>
      </c>
      <c r="D5" s="419">
        <v>588</v>
      </c>
      <c r="E5" s="364" t="s">
        <v>790</v>
      </c>
      <c r="F5" s="421" t="s">
        <v>747</v>
      </c>
      <c r="J5" s="231" t="s">
        <v>958</v>
      </c>
    </row>
    <row r="6" spans="1:13" x14ac:dyDescent="0.25">
      <c r="B6" s="412" t="s">
        <v>1016</v>
      </c>
      <c r="C6" s="420">
        <v>395</v>
      </c>
      <c r="D6" s="421">
        <v>1863</v>
      </c>
      <c r="E6" s="364" t="s">
        <v>1016</v>
      </c>
      <c r="F6" s="421" t="s">
        <v>748</v>
      </c>
      <c r="H6" s="216" t="s">
        <v>1057</v>
      </c>
      <c r="J6" s="252">
        <v>5</v>
      </c>
    </row>
    <row r="7" spans="1:13" ht="16.5" x14ac:dyDescent="0.3">
      <c r="B7" s="412" t="s">
        <v>1017</v>
      </c>
      <c r="C7" s="420">
        <v>1187</v>
      </c>
      <c r="D7" s="421">
        <v>186</v>
      </c>
      <c r="E7" s="364" t="s">
        <v>1017</v>
      </c>
      <c r="F7" s="421" t="s">
        <v>749</v>
      </c>
      <c r="H7" s="217" t="s">
        <v>689</v>
      </c>
      <c r="J7" s="2"/>
    </row>
    <row r="8" spans="1:13" x14ac:dyDescent="0.25">
      <c r="B8" s="412" t="s">
        <v>1019</v>
      </c>
      <c r="C8" s="420">
        <v>598</v>
      </c>
      <c r="D8" s="421">
        <v>793</v>
      </c>
      <c r="E8" s="364" t="s">
        <v>1018</v>
      </c>
      <c r="F8" s="421" t="s">
        <v>124</v>
      </c>
      <c r="H8" s="273">
        <v>1.1961999999999999</v>
      </c>
      <c r="J8" s="231" t="s">
        <v>959</v>
      </c>
    </row>
    <row r="9" spans="1:13" ht="15.75" thickBot="1" x14ac:dyDescent="0.3">
      <c r="B9" s="412" t="s">
        <v>1020</v>
      </c>
      <c r="C9" s="420">
        <v>533</v>
      </c>
      <c r="D9" s="421">
        <v>801</v>
      </c>
      <c r="E9" s="364" t="s">
        <v>1539</v>
      </c>
      <c r="F9" s="423" t="s">
        <v>20</v>
      </c>
      <c r="H9" s="7"/>
      <c r="J9" s="252">
        <v>6</v>
      </c>
    </row>
    <row r="10" spans="1:13" x14ac:dyDescent="0.25">
      <c r="B10" s="412" t="s">
        <v>1120</v>
      </c>
      <c r="C10" s="420">
        <v>1187</v>
      </c>
      <c r="D10" s="421">
        <v>186</v>
      </c>
      <c r="E10" s="364" t="s">
        <v>1019</v>
      </c>
      <c r="H10" s="216" t="s">
        <v>690</v>
      </c>
    </row>
    <row r="11" spans="1:13" x14ac:dyDescent="0.25">
      <c r="B11" s="412" t="s">
        <v>1026</v>
      </c>
      <c r="C11" s="420">
        <v>509</v>
      </c>
      <c r="D11" s="421">
        <v>696</v>
      </c>
      <c r="E11" s="364" t="s">
        <v>1020</v>
      </c>
      <c r="H11" s="217" t="s">
        <v>691</v>
      </c>
      <c r="J11" s="231" t="s">
        <v>1264</v>
      </c>
      <c r="K11" s="231" t="s">
        <v>1479</v>
      </c>
    </row>
    <row r="12" spans="1:13" x14ac:dyDescent="0.25">
      <c r="B12" s="412" t="s">
        <v>1027</v>
      </c>
      <c r="C12" s="420">
        <v>1144</v>
      </c>
      <c r="D12" s="421">
        <v>604</v>
      </c>
      <c r="E12" s="364" t="s">
        <v>1120</v>
      </c>
      <c r="H12" s="218">
        <v>3.4120000000000001E-3</v>
      </c>
      <c r="J12" s="252" t="str">
        <f>'Customer Information'!C18</f>
        <v>Select…</v>
      </c>
      <c r="K12" s="252" t="str">
        <f>'Customer Information'!K18</f>
        <v>Select…</v>
      </c>
    </row>
    <row r="13" spans="1:13" ht="16.5" x14ac:dyDescent="0.3">
      <c r="B13" s="412" t="s">
        <v>1028</v>
      </c>
      <c r="C13" s="420">
        <v>366</v>
      </c>
      <c r="D13" s="421">
        <v>819</v>
      </c>
      <c r="E13" s="364" t="s">
        <v>1021</v>
      </c>
      <c r="H13" s="2"/>
    </row>
    <row r="14" spans="1:13" x14ac:dyDescent="0.25">
      <c r="B14" s="412" t="s">
        <v>1538</v>
      </c>
      <c r="C14" s="420">
        <v>259</v>
      </c>
      <c r="D14" s="421">
        <v>704</v>
      </c>
      <c r="E14" s="364" t="s">
        <v>1022</v>
      </c>
      <c r="H14" s="216" t="s">
        <v>773</v>
      </c>
      <c r="J14" s="231" t="s">
        <v>1264</v>
      </c>
      <c r="K14" s="231" t="s">
        <v>1115</v>
      </c>
      <c r="L14" s="745" t="s">
        <v>1319</v>
      </c>
      <c r="M14" s="231" t="s">
        <v>1479</v>
      </c>
    </row>
    <row r="15" spans="1:13" ht="16.5" x14ac:dyDescent="0.3">
      <c r="B15" s="412" t="s">
        <v>1029</v>
      </c>
      <c r="C15" s="420">
        <v>886</v>
      </c>
      <c r="D15" s="421">
        <v>420</v>
      </c>
      <c r="E15" s="364" t="s">
        <v>1023</v>
      </c>
      <c r="H15" s="217" t="s">
        <v>774</v>
      </c>
      <c r="J15" s="281" t="s">
        <v>1116</v>
      </c>
      <c r="K15" s="281" t="s">
        <v>1116</v>
      </c>
      <c r="L15" s="746" t="s">
        <v>1116</v>
      </c>
      <c r="M15" s="281" t="s">
        <v>1116</v>
      </c>
    </row>
    <row r="16" spans="1:13" ht="16.5" x14ac:dyDescent="0.3">
      <c r="B16" s="412" t="s">
        <v>1030</v>
      </c>
      <c r="C16" s="420">
        <v>818</v>
      </c>
      <c r="D16" s="421">
        <v>531</v>
      </c>
      <c r="E16" s="364" t="s">
        <v>1024</v>
      </c>
      <c r="H16" s="219">
        <v>0.8</v>
      </c>
      <c r="J16" s="281" t="s">
        <v>868</v>
      </c>
      <c r="K16" s="281" t="s">
        <v>1117</v>
      </c>
      <c r="L16" s="746" t="s">
        <v>1321</v>
      </c>
      <c r="M16" s="281" t="s">
        <v>1384</v>
      </c>
    </row>
    <row r="17" spans="1:13" ht="16.5" x14ac:dyDescent="0.3">
      <c r="B17" s="412" t="s">
        <v>1032</v>
      </c>
      <c r="C17" s="420">
        <v>371</v>
      </c>
      <c r="D17" s="421">
        <v>441</v>
      </c>
      <c r="E17" s="364" t="s">
        <v>1025</v>
      </c>
      <c r="H17" s="7"/>
      <c r="J17" s="281" t="s">
        <v>1157</v>
      </c>
      <c r="K17" s="281" t="s">
        <v>1118</v>
      </c>
      <c r="L17" s="746" t="s">
        <v>1322</v>
      </c>
      <c r="M17" s="281" t="s">
        <v>1386</v>
      </c>
    </row>
    <row r="18" spans="1:13" ht="17.25" thickBot="1" x14ac:dyDescent="0.35">
      <c r="B18" s="427" t="s">
        <v>124</v>
      </c>
      <c r="C18" s="422">
        <f>ROUND(AVERAGE(C5:C17),0)</f>
        <v>683</v>
      </c>
      <c r="D18" s="423">
        <f>ROUND(AVERAGE(D5:D17),0)</f>
        <v>664</v>
      </c>
      <c r="E18" s="364" t="s">
        <v>1026</v>
      </c>
      <c r="H18" s="216" t="s">
        <v>775</v>
      </c>
      <c r="K18" s="281" t="s">
        <v>1119</v>
      </c>
      <c r="M18" s="74" t="s">
        <v>1480</v>
      </c>
    </row>
    <row r="19" spans="1:13" x14ac:dyDescent="0.25">
      <c r="B19" s="424" t="s">
        <v>1018</v>
      </c>
      <c r="C19" s="425">
        <v>1047</v>
      </c>
      <c r="D19" s="426">
        <v>1237</v>
      </c>
      <c r="E19" s="364" t="s">
        <v>1027</v>
      </c>
      <c r="H19" s="217" t="s">
        <v>776</v>
      </c>
    </row>
    <row r="20" spans="1:13" x14ac:dyDescent="0.25">
      <c r="B20" s="414" t="s">
        <v>1539</v>
      </c>
      <c r="C20" s="420">
        <v>742</v>
      </c>
      <c r="D20" s="421">
        <v>453</v>
      </c>
      <c r="E20" s="364" t="s">
        <v>124</v>
      </c>
      <c r="H20" s="220">
        <v>15</v>
      </c>
    </row>
    <row r="21" spans="1:13" ht="16.5" x14ac:dyDescent="0.3">
      <c r="B21" s="413" t="s">
        <v>1021</v>
      </c>
      <c r="C21" s="420">
        <v>799</v>
      </c>
      <c r="D21" s="421">
        <v>819</v>
      </c>
      <c r="E21" s="364" t="s">
        <v>1028</v>
      </c>
      <c r="H21" s="2"/>
    </row>
    <row r="22" spans="1:13" x14ac:dyDescent="0.25">
      <c r="B22" s="413" t="s">
        <v>1022</v>
      </c>
      <c r="C22" s="420">
        <v>2076</v>
      </c>
      <c r="D22" s="421">
        <v>3059</v>
      </c>
      <c r="E22" s="364" t="s">
        <v>1538</v>
      </c>
      <c r="H22" s="231" t="s">
        <v>979</v>
      </c>
    </row>
    <row r="23" spans="1:13" x14ac:dyDescent="0.25">
      <c r="B23" s="413" t="s">
        <v>1023</v>
      </c>
      <c r="C23" s="420">
        <v>2884</v>
      </c>
      <c r="D23" s="421">
        <v>734</v>
      </c>
      <c r="E23" s="364" t="s">
        <v>1029</v>
      </c>
      <c r="H23" s="256">
        <v>3.4119999999999999</v>
      </c>
    </row>
    <row r="24" spans="1:13" x14ac:dyDescent="0.25">
      <c r="B24" s="413" t="s">
        <v>1024</v>
      </c>
      <c r="C24" s="420">
        <v>2088</v>
      </c>
      <c r="D24" s="421">
        <v>2021</v>
      </c>
      <c r="E24" s="364" t="s">
        <v>1030</v>
      </c>
    </row>
    <row r="25" spans="1:13" x14ac:dyDescent="0.25">
      <c r="B25" s="413" t="s">
        <v>1025</v>
      </c>
      <c r="C25" s="420">
        <v>1625</v>
      </c>
      <c r="D25" s="421">
        <v>1983</v>
      </c>
      <c r="E25" s="364" t="s">
        <v>1031</v>
      </c>
    </row>
    <row r="26" spans="1:13" ht="15.75" thickBot="1" x14ac:dyDescent="0.3">
      <c r="B26" s="415" t="s">
        <v>1031</v>
      </c>
      <c r="C26" s="422">
        <v>1121</v>
      </c>
      <c r="D26" s="423">
        <v>1077</v>
      </c>
      <c r="E26" s="365" t="s">
        <v>1032</v>
      </c>
    </row>
    <row r="29" spans="1:13" s="363" customFormat="1" x14ac:dyDescent="0.25"/>
    <row r="30" spans="1:13" ht="27" thickBot="1" x14ac:dyDescent="0.45">
      <c r="A30" s="1277" t="s">
        <v>1491</v>
      </c>
      <c r="B30" s="1277"/>
      <c r="H30" s="2"/>
    </row>
    <row r="33" spans="2:28" ht="15.75" thickBot="1" x14ac:dyDescent="0.3"/>
    <row r="34" spans="2:28" ht="14.45" customHeight="1" thickBot="1" x14ac:dyDescent="0.3">
      <c r="B34" s="367" t="s">
        <v>1492</v>
      </c>
      <c r="E34" s="367" t="s">
        <v>1500</v>
      </c>
      <c r="F34" s="434" t="s">
        <v>1493</v>
      </c>
      <c r="G34" s="408" t="s">
        <v>1532</v>
      </c>
      <c r="H34" s="408" t="s">
        <v>1533</v>
      </c>
      <c r="I34" s="408" t="s">
        <v>1534</v>
      </c>
      <c r="J34" s="409" t="s">
        <v>410</v>
      </c>
      <c r="K34" s="409" t="s">
        <v>1612</v>
      </c>
      <c r="L34" s="409" t="s">
        <v>1613</v>
      </c>
      <c r="M34" s="367" t="s">
        <v>1540</v>
      </c>
      <c r="N34" s="367" t="s">
        <v>1541</v>
      </c>
      <c r="O34" s="499" t="s">
        <v>1599</v>
      </c>
      <c r="P34" s="440" t="s">
        <v>19</v>
      </c>
      <c r="Q34" s="440" t="s">
        <v>1618</v>
      </c>
      <c r="R34" s="681" t="s">
        <v>267</v>
      </c>
      <c r="S34" s="1278" t="s">
        <v>1545</v>
      </c>
      <c r="T34" s="1279"/>
      <c r="U34" s="1279"/>
      <c r="V34" s="1279"/>
      <c r="W34" s="1279"/>
      <c r="X34" s="440" t="s">
        <v>1903</v>
      </c>
      <c r="Z34" s="409" t="s">
        <v>1176</v>
      </c>
      <c r="AA34" s="1091" t="s">
        <v>772</v>
      </c>
      <c r="AB34" s="1091" t="s">
        <v>1645</v>
      </c>
    </row>
    <row r="35" spans="2:28" ht="14.45" customHeight="1" x14ac:dyDescent="0.25">
      <c r="B35" s="366" t="s">
        <v>63</v>
      </c>
      <c r="D35" s="570"/>
      <c r="E35" s="512" t="str">
        <f>$B$35&amp;" "&amp;B42&amp;" "&amp;B50</f>
        <v>Air Conditioners - Air Cooled &lt; 5.4 Tons Split System</v>
      </c>
      <c r="F35" s="517">
        <f>E73</f>
        <v>11.416800000000002</v>
      </c>
      <c r="G35" s="518">
        <f>E73</f>
        <v>11.416800000000002</v>
      </c>
      <c r="H35" s="518">
        <f>E75</f>
        <v>13.4</v>
      </c>
      <c r="I35" s="519">
        <f>E75</f>
        <v>13.4</v>
      </c>
      <c r="J35" s="520"/>
      <c r="K35" s="521"/>
      <c r="L35" s="521"/>
      <c r="M35" s="491">
        <v>13</v>
      </c>
      <c r="N35" s="492">
        <v>16</v>
      </c>
      <c r="O35" s="500"/>
      <c r="P35" s="495">
        <f t="shared" ref="P35:P54" si="0">$B$55</f>
        <v>0.55000000000000004</v>
      </c>
      <c r="Q35" s="541">
        <v>1</v>
      </c>
      <c r="R35" s="747" t="s">
        <v>233</v>
      </c>
      <c r="S35" s="663" t="s">
        <v>123</v>
      </c>
      <c r="T35" s="664" t="s">
        <v>750</v>
      </c>
      <c r="U35" s="664" t="s">
        <v>868</v>
      </c>
      <c r="V35" s="664" t="s">
        <v>20</v>
      </c>
      <c r="W35" s="653"/>
      <c r="X35" s="495">
        <v>0.7</v>
      </c>
      <c r="Z35" s="1092" t="s">
        <v>746</v>
      </c>
      <c r="AA35" s="1093"/>
      <c r="AB35" s="1093"/>
    </row>
    <row r="36" spans="2:28" ht="14.45" customHeight="1" x14ac:dyDescent="0.25">
      <c r="B36" s="364" t="s">
        <v>64</v>
      </c>
      <c r="E36" s="513" t="str">
        <f>$B$35&amp;" "&amp;B42&amp;" "&amp;B51</f>
        <v>Air Conditioners - Air Cooled &lt; 5.4 Tons Single Package</v>
      </c>
      <c r="F36" s="522">
        <f>D73</f>
        <v>11.416800000000002</v>
      </c>
      <c r="G36" s="523">
        <f>D73</f>
        <v>11.416800000000002</v>
      </c>
      <c r="H36" s="523">
        <f>D75</f>
        <v>13.4</v>
      </c>
      <c r="I36" s="524">
        <f>D75</f>
        <v>13.4</v>
      </c>
      <c r="J36" s="525"/>
      <c r="K36" s="521"/>
      <c r="L36" s="521"/>
      <c r="M36" s="482">
        <v>12</v>
      </c>
      <c r="N36" s="493">
        <v>16</v>
      </c>
      <c r="O36" s="501"/>
      <c r="P36" s="496">
        <f t="shared" si="0"/>
        <v>0.55000000000000004</v>
      </c>
      <c r="Q36" s="542">
        <v>1</v>
      </c>
      <c r="R36" s="490" t="s">
        <v>234</v>
      </c>
      <c r="S36" s="665" t="s">
        <v>123</v>
      </c>
      <c r="T36" s="86" t="s">
        <v>751</v>
      </c>
      <c r="U36" s="86" t="s">
        <v>868</v>
      </c>
      <c r="V36" s="86" t="s">
        <v>20</v>
      </c>
      <c r="W36" s="666"/>
      <c r="X36" s="496">
        <v>0.7</v>
      </c>
      <c r="Z36" s="1094" t="s">
        <v>747</v>
      </c>
      <c r="AA36" s="1095">
        <v>0.80500000000000005</v>
      </c>
      <c r="AB36" s="1095" t="s">
        <v>1908</v>
      </c>
    </row>
    <row r="37" spans="2:28" ht="14.45" customHeight="1" x14ac:dyDescent="0.25">
      <c r="B37" s="364" t="s">
        <v>120</v>
      </c>
      <c r="E37" s="364" t="str">
        <f>$B$35&amp;" "&amp;B43&amp;" "&amp;B50</f>
        <v>Air Conditioners - Air Cooled ≥ 5.4 &amp; &lt; 11.25 Tons Split System</v>
      </c>
      <c r="F37" s="444">
        <f>D79</f>
        <v>12.7</v>
      </c>
      <c r="G37" s="404">
        <f>D78</f>
        <v>12.9</v>
      </c>
      <c r="H37" s="404">
        <f>D81</f>
        <v>14.6</v>
      </c>
      <c r="I37" s="490">
        <f>D80</f>
        <v>14.8</v>
      </c>
      <c r="J37" s="468"/>
      <c r="K37" s="489"/>
      <c r="L37" s="489"/>
      <c r="M37" s="482">
        <v>12.6</v>
      </c>
      <c r="N37" s="493">
        <v>17</v>
      </c>
      <c r="O37" s="501"/>
      <c r="P37" s="496">
        <f t="shared" si="0"/>
        <v>0.55000000000000004</v>
      </c>
      <c r="Q37" s="542">
        <v>1</v>
      </c>
      <c r="R37" s="490" t="s">
        <v>235</v>
      </c>
      <c r="S37" s="665" t="s">
        <v>123</v>
      </c>
      <c r="T37" s="86" t="s">
        <v>750</v>
      </c>
      <c r="U37" s="86" t="s">
        <v>868</v>
      </c>
      <c r="V37" s="86" t="s">
        <v>20</v>
      </c>
      <c r="W37" s="666"/>
      <c r="X37" s="496">
        <v>0.7</v>
      </c>
      <c r="Z37" s="1094" t="s">
        <v>748</v>
      </c>
      <c r="AA37" s="1095">
        <v>0.82555555555555549</v>
      </c>
      <c r="AB37" s="1095" t="s">
        <v>1908</v>
      </c>
    </row>
    <row r="38" spans="2:28" ht="14.45" customHeight="1" x14ac:dyDescent="0.25">
      <c r="B38" s="364" t="s">
        <v>441</v>
      </c>
      <c r="E38" s="364" t="str">
        <f>$B$35&amp;" "&amp;B43&amp;" "&amp;B51</f>
        <v>Air Conditioners - Air Cooled ≥ 5.4 &amp; &lt; 11.25 Tons Single Package</v>
      </c>
      <c r="F38" s="444">
        <f>D79</f>
        <v>12.7</v>
      </c>
      <c r="G38" s="404">
        <f>D78</f>
        <v>12.9</v>
      </c>
      <c r="H38" s="404">
        <f>D81</f>
        <v>14.6</v>
      </c>
      <c r="I38" s="490">
        <f>D80</f>
        <v>14.8</v>
      </c>
      <c r="J38" s="468"/>
      <c r="K38" s="489"/>
      <c r="L38" s="489"/>
      <c r="M38" s="482">
        <v>12.6</v>
      </c>
      <c r="N38" s="493">
        <v>17</v>
      </c>
      <c r="O38" s="501"/>
      <c r="P38" s="496">
        <f t="shared" si="0"/>
        <v>0.55000000000000004</v>
      </c>
      <c r="Q38" s="542">
        <v>1</v>
      </c>
      <c r="R38" s="490" t="s">
        <v>236</v>
      </c>
      <c r="S38" s="665" t="s">
        <v>123</v>
      </c>
      <c r="T38" s="86" t="s">
        <v>750</v>
      </c>
      <c r="U38" s="86" t="s">
        <v>751</v>
      </c>
      <c r="V38" s="86" t="s">
        <v>868</v>
      </c>
      <c r="W38" s="666" t="s">
        <v>20</v>
      </c>
      <c r="X38" s="496">
        <v>0.7</v>
      </c>
      <c r="Z38" s="1094" t="s">
        <v>749</v>
      </c>
      <c r="AA38" s="1095">
        <v>0.80500000000000005</v>
      </c>
      <c r="AB38" s="1095" t="s">
        <v>1908</v>
      </c>
    </row>
    <row r="39" spans="2:28" ht="14.45" customHeight="1" thickBot="1" x14ac:dyDescent="0.3">
      <c r="B39" s="365" t="s">
        <v>442</v>
      </c>
      <c r="E39" s="513" t="str">
        <f>$B$35&amp;" "&amp;B44&amp;" "&amp;B50</f>
        <v>Air Conditioners - Air Cooled ≥ 11.25 &amp; &lt; 20 Tons Split System</v>
      </c>
      <c r="F39" s="522">
        <f>D85</f>
        <v>12.4</v>
      </c>
      <c r="G39" s="523">
        <f>D84</f>
        <v>12.6</v>
      </c>
      <c r="H39" s="523">
        <f>D87</f>
        <v>14</v>
      </c>
      <c r="I39" s="524">
        <f>D86</f>
        <v>14.2</v>
      </c>
      <c r="J39" s="525"/>
      <c r="K39" s="521"/>
      <c r="L39" s="521"/>
      <c r="M39" s="482">
        <v>12.3</v>
      </c>
      <c r="N39" s="493">
        <v>16.5</v>
      </c>
      <c r="O39" s="501"/>
      <c r="P39" s="496">
        <f t="shared" si="0"/>
        <v>0.55000000000000004</v>
      </c>
      <c r="Q39" s="542">
        <v>1</v>
      </c>
      <c r="R39" s="490" t="s">
        <v>237</v>
      </c>
      <c r="S39" s="665" t="s">
        <v>123</v>
      </c>
      <c r="T39" s="86" t="s">
        <v>750</v>
      </c>
      <c r="U39" s="86" t="s">
        <v>751</v>
      </c>
      <c r="V39" s="86" t="s">
        <v>868</v>
      </c>
      <c r="W39" s="666" t="s">
        <v>20</v>
      </c>
      <c r="X39" s="496">
        <v>0.7</v>
      </c>
      <c r="Z39" s="1094" t="s">
        <v>124</v>
      </c>
      <c r="AA39" s="1095"/>
      <c r="AB39" s="1095"/>
    </row>
    <row r="40" spans="2:28" ht="14.45" customHeight="1" thickBot="1" x14ac:dyDescent="0.3">
      <c r="E40" s="513" t="str">
        <f>$B$35&amp;" "&amp;B44&amp;" "&amp;B51</f>
        <v>Air Conditioners - Air Cooled ≥ 11.25 &amp; &lt; 20 Tons Single Package</v>
      </c>
      <c r="F40" s="522">
        <f>D85</f>
        <v>12.4</v>
      </c>
      <c r="G40" s="523">
        <f>D84</f>
        <v>12.6</v>
      </c>
      <c r="H40" s="523">
        <f>D87</f>
        <v>14</v>
      </c>
      <c r="I40" s="524">
        <f>D86</f>
        <v>14.2</v>
      </c>
      <c r="J40" s="525"/>
      <c r="K40" s="521"/>
      <c r="L40" s="521"/>
      <c r="M40" s="482">
        <v>12.3</v>
      </c>
      <c r="N40" s="493">
        <v>16.5</v>
      </c>
      <c r="O40" s="501"/>
      <c r="P40" s="496">
        <f t="shared" si="0"/>
        <v>0.55000000000000004</v>
      </c>
      <c r="Q40" s="542">
        <v>1</v>
      </c>
      <c r="R40" s="490" t="s">
        <v>238</v>
      </c>
      <c r="S40" s="665" t="s">
        <v>123</v>
      </c>
      <c r="T40" s="86" t="s">
        <v>752</v>
      </c>
      <c r="U40" s="86" t="s">
        <v>751</v>
      </c>
      <c r="V40" s="86" t="s">
        <v>868</v>
      </c>
      <c r="W40" s="666" t="s">
        <v>20</v>
      </c>
      <c r="X40" s="496">
        <v>0.7</v>
      </c>
      <c r="Z40" s="1096" t="s">
        <v>20</v>
      </c>
      <c r="AA40" s="1097">
        <v>0.80500000000000005</v>
      </c>
      <c r="AB40" s="1097" t="s">
        <v>1908</v>
      </c>
    </row>
    <row r="41" spans="2:28" ht="14.45" customHeight="1" thickBot="1" x14ac:dyDescent="0.3">
      <c r="B41" s="367" t="s">
        <v>1501</v>
      </c>
      <c r="C41" s="367" t="s">
        <v>1581</v>
      </c>
      <c r="E41" s="364" t="str">
        <f>$B$35&amp;" "&amp;B45&amp;" "&amp;B50</f>
        <v>Air Conditioners - Air Cooled ≥ 20 &amp; &lt; 63 Tons Split System</v>
      </c>
      <c r="F41" s="444">
        <f>D91</f>
        <v>11.2</v>
      </c>
      <c r="G41" s="404">
        <f>D90</f>
        <v>11.4</v>
      </c>
      <c r="H41" s="404">
        <f>D93</f>
        <v>13</v>
      </c>
      <c r="I41" s="490">
        <f>D92</f>
        <v>13.2</v>
      </c>
      <c r="J41" s="468"/>
      <c r="K41" s="489"/>
      <c r="L41" s="489"/>
      <c r="M41" s="482">
        <v>11.5</v>
      </c>
      <c r="N41" s="493">
        <v>16</v>
      </c>
      <c r="O41" s="501"/>
      <c r="P41" s="496">
        <f t="shared" si="0"/>
        <v>0.55000000000000004</v>
      </c>
      <c r="Q41" s="542">
        <v>1</v>
      </c>
      <c r="R41" s="490" t="s">
        <v>239</v>
      </c>
      <c r="S41" s="665" t="s">
        <v>123</v>
      </c>
      <c r="T41" s="86" t="s">
        <v>752</v>
      </c>
      <c r="U41" s="86" t="s">
        <v>751</v>
      </c>
      <c r="V41" s="86" t="s">
        <v>868</v>
      </c>
      <c r="W41" s="666" t="s">
        <v>20</v>
      </c>
      <c r="X41" s="496">
        <v>0.7</v>
      </c>
    </row>
    <row r="42" spans="2:28" ht="14.45" customHeight="1" thickBot="1" x14ac:dyDescent="0.3">
      <c r="B42" s="366" t="s">
        <v>62</v>
      </c>
      <c r="C42" s="366" t="s">
        <v>444</v>
      </c>
      <c r="E42" s="364" t="str">
        <f>$B$35&amp;" "&amp;B45&amp;" "&amp;B51</f>
        <v>Air Conditioners - Air Cooled ≥ 20 &amp; &lt; 63 Tons Single Package</v>
      </c>
      <c r="F42" s="444">
        <f>D91</f>
        <v>11.2</v>
      </c>
      <c r="G42" s="404">
        <f>D90</f>
        <v>11.4</v>
      </c>
      <c r="H42" s="404">
        <f>D93</f>
        <v>13</v>
      </c>
      <c r="I42" s="490">
        <f>D92</f>
        <v>13.2</v>
      </c>
      <c r="J42" s="468"/>
      <c r="K42" s="489"/>
      <c r="L42" s="489"/>
      <c r="M42" s="482">
        <v>11.5</v>
      </c>
      <c r="N42" s="493">
        <v>16</v>
      </c>
      <c r="O42" s="501"/>
      <c r="P42" s="496">
        <f t="shared" si="0"/>
        <v>0.55000000000000004</v>
      </c>
      <c r="Q42" s="542">
        <v>1</v>
      </c>
      <c r="R42" s="490" t="s">
        <v>240</v>
      </c>
      <c r="S42" s="760" t="s">
        <v>123</v>
      </c>
      <c r="T42" s="761" t="s">
        <v>750</v>
      </c>
      <c r="U42" s="761" t="s">
        <v>751</v>
      </c>
      <c r="V42" s="761" t="s">
        <v>868</v>
      </c>
      <c r="W42" s="754" t="s">
        <v>20</v>
      </c>
      <c r="X42" s="496">
        <v>0.7</v>
      </c>
    </row>
    <row r="43" spans="2:28" ht="14.45" customHeight="1" x14ac:dyDescent="0.25">
      <c r="B43" s="364" t="s">
        <v>70</v>
      </c>
      <c r="C43" s="364" t="s">
        <v>1597</v>
      </c>
      <c r="E43" s="417" t="str">
        <f>$B$36&amp;" "&amp;$B$42&amp;" "&amp;C50</f>
        <v>Air Conditioners - Water &amp; Evaporatively Cooled &lt; 5.4 Tons Water Cooled</v>
      </c>
      <c r="F43" s="465">
        <f>E113</f>
        <v>12.1</v>
      </c>
      <c r="G43" s="466">
        <f>E113</f>
        <v>12.1</v>
      </c>
      <c r="H43" s="549">
        <f>E114</f>
        <v>12.3</v>
      </c>
      <c r="I43" s="549">
        <f>E114</f>
        <v>12.3</v>
      </c>
      <c r="J43" s="564"/>
      <c r="K43" s="564"/>
      <c r="L43" s="564"/>
      <c r="M43" s="481">
        <v>14</v>
      </c>
      <c r="N43" s="566"/>
      <c r="O43" s="500"/>
      <c r="P43" s="498">
        <f t="shared" si="0"/>
        <v>0.55000000000000004</v>
      </c>
      <c r="Q43" s="547">
        <v>1</v>
      </c>
      <c r="R43" s="748" t="s">
        <v>243</v>
      </c>
      <c r="S43" s="663" t="s">
        <v>750</v>
      </c>
      <c r="T43" s="664" t="s">
        <v>751</v>
      </c>
      <c r="U43" s="664" t="s">
        <v>868</v>
      </c>
      <c r="V43" s="664" t="s">
        <v>20</v>
      </c>
      <c r="W43" s="753"/>
      <c r="X43" s="498">
        <v>0.7</v>
      </c>
    </row>
    <row r="44" spans="2:28" ht="14.45" customHeight="1" x14ac:dyDescent="0.25">
      <c r="B44" s="364" t="s">
        <v>65</v>
      </c>
      <c r="C44" s="364" t="s">
        <v>1598</v>
      </c>
      <c r="E44" s="364" t="str">
        <f>$B$36&amp;" "&amp;$B$42&amp;" "&amp;C51</f>
        <v>Air Conditioners - Water &amp; Evaporatively Cooled &lt; 5.4 Tons Evaporatively Cooled</v>
      </c>
      <c r="F44" s="444">
        <f>E131</f>
        <v>12.1</v>
      </c>
      <c r="G44" s="467">
        <f>E131</f>
        <v>12.1</v>
      </c>
      <c r="H44" s="472">
        <f>E132</f>
        <v>12.3</v>
      </c>
      <c r="I44" s="472">
        <f>E132</f>
        <v>12.3</v>
      </c>
      <c r="J44" s="489"/>
      <c r="K44" s="489"/>
      <c r="L44" s="489"/>
      <c r="M44" s="482">
        <v>14</v>
      </c>
      <c r="N44" s="567"/>
      <c r="O44" s="501"/>
      <c r="P44" s="496">
        <f t="shared" si="0"/>
        <v>0.55000000000000004</v>
      </c>
      <c r="Q44" s="542">
        <v>1</v>
      </c>
      <c r="R44" s="749" t="s">
        <v>244</v>
      </c>
      <c r="S44" s="665" t="s">
        <v>750</v>
      </c>
      <c r="T44" s="86" t="s">
        <v>751</v>
      </c>
      <c r="U44" s="86" t="s">
        <v>868</v>
      </c>
      <c r="V44" s="86" t="s">
        <v>20</v>
      </c>
      <c r="W44" s="755"/>
      <c r="X44" s="496">
        <v>0.7</v>
      </c>
    </row>
    <row r="45" spans="2:28" ht="14.45" customHeight="1" x14ac:dyDescent="0.25">
      <c r="B45" s="364" t="s">
        <v>66</v>
      </c>
      <c r="C45" s="364"/>
      <c r="E45" s="513" t="str">
        <f>$B$36&amp;" "&amp;$B$43&amp;" "&amp;C50</f>
        <v>Air Conditioners - Water &amp; Evaporatively Cooled ≥ 5.4 &amp; &lt; 11.25 Tons Water Cooled</v>
      </c>
      <c r="F45" s="522">
        <f>E116</f>
        <v>11.9</v>
      </c>
      <c r="G45" s="528">
        <f>E115</f>
        <v>12.1</v>
      </c>
      <c r="H45" s="472">
        <f>E118</f>
        <v>13.7</v>
      </c>
      <c r="I45" s="472">
        <f>E117</f>
        <v>13.9</v>
      </c>
      <c r="J45" s="521"/>
      <c r="K45" s="521"/>
      <c r="L45" s="521"/>
      <c r="M45" s="482">
        <v>14</v>
      </c>
      <c r="N45" s="567"/>
      <c r="O45" s="501"/>
      <c r="P45" s="496">
        <f t="shared" si="0"/>
        <v>0.55000000000000004</v>
      </c>
      <c r="Q45" s="542">
        <v>1</v>
      </c>
      <c r="R45" s="749" t="s">
        <v>243</v>
      </c>
      <c r="S45" s="665" t="s">
        <v>750</v>
      </c>
      <c r="T45" s="86" t="s">
        <v>751</v>
      </c>
      <c r="U45" s="86" t="s">
        <v>868</v>
      </c>
      <c r="V45" s="86" t="s">
        <v>20</v>
      </c>
      <c r="W45" s="755"/>
      <c r="X45" s="496">
        <v>0.7</v>
      </c>
    </row>
    <row r="46" spans="2:28" ht="14.45" customHeight="1" thickBot="1" x14ac:dyDescent="0.3">
      <c r="B46" s="365" t="s">
        <v>14</v>
      </c>
      <c r="C46" s="365"/>
      <c r="E46" s="513" t="str">
        <f>$B$36&amp;" "&amp;$B$43&amp;" "&amp;C51</f>
        <v>Air Conditioners - Water &amp; Evaporatively Cooled ≥ 5.4 &amp; &lt; 11.25 Tons Evaporatively Cooled</v>
      </c>
      <c r="F46" s="522">
        <f>E133</f>
        <v>12.1</v>
      </c>
      <c r="G46" s="528">
        <f>E132</f>
        <v>12.3</v>
      </c>
      <c r="H46" s="472">
        <f>E136</f>
        <v>12.1</v>
      </c>
      <c r="I46" s="472">
        <f>E135</f>
        <v>12.3</v>
      </c>
      <c r="J46" s="521"/>
      <c r="K46" s="521"/>
      <c r="L46" s="521"/>
      <c r="M46" s="482">
        <v>14</v>
      </c>
      <c r="N46" s="567"/>
      <c r="O46" s="501"/>
      <c r="P46" s="496">
        <f t="shared" si="0"/>
        <v>0.55000000000000004</v>
      </c>
      <c r="Q46" s="542">
        <v>1</v>
      </c>
      <c r="R46" s="749" t="s">
        <v>244</v>
      </c>
      <c r="S46" s="665" t="s">
        <v>750</v>
      </c>
      <c r="T46" s="86" t="s">
        <v>751</v>
      </c>
      <c r="U46" s="86" t="s">
        <v>868</v>
      </c>
      <c r="V46" s="86" t="s">
        <v>20</v>
      </c>
      <c r="W46" s="755"/>
      <c r="X46" s="496">
        <v>0.7</v>
      </c>
    </row>
    <row r="47" spans="2:28" ht="14.45" customHeight="1" x14ac:dyDescent="0.25">
      <c r="E47" s="364" t="str">
        <f>$B$36&amp;" "&amp;$B$44&amp;" "&amp;C50</f>
        <v>Air Conditioners - Water &amp; Evaporatively Cooled ≥ 11.25 &amp; &lt; 20 Tons Water Cooled</v>
      </c>
      <c r="F47" s="444">
        <f>E120</f>
        <v>12.3</v>
      </c>
      <c r="G47" s="467">
        <f>E119</f>
        <v>12.5</v>
      </c>
      <c r="H47" s="472">
        <f>E122</f>
        <v>13.7</v>
      </c>
      <c r="I47" s="472">
        <f>E121</f>
        <v>13.9</v>
      </c>
      <c r="J47" s="489"/>
      <c r="K47" s="489"/>
      <c r="L47" s="489"/>
      <c r="M47" s="482">
        <v>14</v>
      </c>
      <c r="N47" s="567"/>
      <c r="O47" s="501"/>
      <c r="P47" s="496">
        <f t="shared" si="0"/>
        <v>0.55000000000000004</v>
      </c>
      <c r="Q47" s="542">
        <v>1</v>
      </c>
      <c r="R47" s="749" t="s">
        <v>243</v>
      </c>
      <c r="S47" s="665" t="s">
        <v>750</v>
      </c>
      <c r="T47" s="86" t="s">
        <v>751</v>
      </c>
      <c r="U47" s="86" t="s">
        <v>868</v>
      </c>
      <c r="V47" s="86" t="s">
        <v>20</v>
      </c>
      <c r="W47" s="755"/>
      <c r="X47" s="496">
        <v>0.7</v>
      </c>
    </row>
    <row r="48" spans="2:28" ht="14.45" customHeight="1" thickBot="1" x14ac:dyDescent="0.3">
      <c r="E48" s="364" t="str">
        <f>$B$36&amp;" "&amp;$B$44&amp;" "&amp;C51</f>
        <v>Air Conditioners - Water &amp; Evaporatively Cooled ≥ 11.25 &amp; &lt; 20 Tons Evaporatively Cooled</v>
      </c>
      <c r="F48" s="444">
        <f>E137</f>
        <v>12</v>
      </c>
      <c r="G48" s="467">
        <f>E134</f>
        <v>11.9</v>
      </c>
      <c r="H48" s="472">
        <f>E140</f>
        <v>12</v>
      </c>
      <c r="I48" s="472">
        <f>E139</f>
        <v>12.2</v>
      </c>
      <c r="J48" s="489"/>
      <c r="K48" s="489"/>
      <c r="L48" s="489"/>
      <c r="M48" s="482">
        <v>14</v>
      </c>
      <c r="N48" s="567"/>
      <c r="O48" s="501"/>
      <c r="P48" s="496">
        <f t="shared" si="0"/>
        <v>0.55000000000000004</v>
      </c>
      <c r="Q48" s="542">
        <v>1</v>
      </c>
      <c r="R48" s="749" t="s">
        <v>244</v>
      </c>
      <c r="S48" s="665" t="s">
        <v>750</v>
      </c>
      <c r="T48" s="86" t="s">
        <v>751</v>
      </c>
      <c r="U48" s="86" t="s">
        <v>868</v>
      </c>
      <c r="V48" s="86" t="s">
        <v>20</v>
      </c>
      <c r="W48" s="755"/>
      <c r="X48" s="496">
        <v>0.7</v>
      </c>
    </row>
    <row r="49" spans="2:24" ht="14.45" customHeight="1" thickBot="1" x14ac:dyDescent="0.3">
      <c r="B49" s="367" t="s">
        <v>10</v>
      </c>
      <c r="C49" s="367" t="s">
        <v>1580</v>
      </c>
      <c r="E49" s="513" t="str">
        <f>$B$36&amp;" "&amp;$B$45&amp;" "&amp;C50</f>
        <v>Air Conditioners - Water &amp; Evaporatively Cooled ≥ 20 &amp; &lt; 63 Tons Water Cooled</v>
      </c>
      <c r="F49" s="522">
        <f>E124</f>
        <v>12.2</v>
      </c>
      <c r="G49" s="528">
        <f>E123</f>
        <v>12.4</v>
      </c>
      <c r="H49" s="472">
        <f>E126</f>
        <v>13.4</v>
      </c>
      <c r="I49" s="472">
        <f>E125</f>
        <v>13.6</v>
      </c>
      <c r="J49" s="521"/>
      <c r="K49" s="521"/>
      <c r="L49" s="521"/>
      <c r="M49" s="482">
        <v>14</v>
      </c>
      <c r="N49" s="567"/>
      <c r="O49" s="501"/>
      <c r="P49" s="496">
        <f t="shared" si="0"/>
        <v>0.55000000000000004</v>
      </c>
      <c r="Q49" s="542">
        <v>1</v>
      </c>
      <c r="R49" s="749" t="s">
        <v>243</v>
      </c>
      <c r="S49" s="665" t="s">
        <v>750</v>
      </c>
      <c r="T49" s="86" t="s">
        <v>751</v>
      </c>
      <c r="U49" s="86" t="s">
        <v>868</v>
      </c>
      <c r="V49" s="86" t="s">
        <v>20</v>
      </c>
      <c r="W49" s="755"/>
      <c r="X49" s="496">
        <v>0.7</v>
      </c>
    </row>
    <row r="50" spans="2:24" ht="14.45" customHeight="1" thickBot="1" x14ac:dyDescent="0.3">
      <c r="B50" s="417" t="s">
        <v>11</v>
      </c>
      <c r="C50" s="366" t="s">
        <v>1575</v>
      </c>
      <c r="E50" s="516" t="str">
        <f>$B$36&amp;" "&amp;$B$45&amp;" "&amp;C51</f>
        <v>Air Conditioners - Water &amp; Evaporatively Cooled ≥ 20 &amp; &lt; 63 Tons Evaporatively Cooled</v>
      </c>
      <c r="F50" s="526">
        <f>E144</f>
        <v>11.9</v>
      </c>
      <c r="G50" s="565">
        <f>E138</f>
        <v>11.8</v>
      </c>
      <c r="H50" s="473">
        <f>E144</f>
        <v>11.9</v>
      </c>
      <c r="I50" s="473">
        <f>E143</f>
        <v>12.1</v>
      </c>
      <c r="J50" s="548"/>
      <c r="K50" s="548"/>
      <c r="L50" s="548"/>
      <c r="M50" s="483">
        <v>14</v>
      </c>
      <c r="N50" s="568"/>
      <c r="O50" s="474"/>
      <c r="P50" s="497">
        <f t="shared" si="0"/>
        <v>0.55000000000000004</v>
      </c>
      <c r="Q50" s="543">
        <v>1</v>
      </c>
      <c r="R50" s="750" t="s">
        <v>244</v>
      </c>
      <c r="S50" s="667" t="s">
        <v>750</v>
      </c>
      <c r="T50" s="654" t="s">
        <v>751</v>
      </c>
      <c r="U50" s="654" t="s">
        <v>868</v>
      </c>
      <c r="V50" s="654" t="s">
        <v>20</v>
      </c>
      <c r="W50" s="759"/>
      <c r="X50" s="497">
        <v>0.7</v>
      </c>
    </row>
    <row r="51" spans="2:24" ht="14.45" customHeight="1" thickBot="1" x14ac:dyDescent="0.3">
      <c r="B51" s="366" t="s">
        <v>71</v>
      </c>
      <c r="C51" s="365" t="s">
        <v>1578</v>
      </c>
      <c r="D51" s="570"/>
      <c r="E51" s="514" t="str">
        <f>$B$37&amp;" "&amp;$B$42&amp;" "&amp;B52</f>
        <v>Ductless Mini-Split AC &lt; 5.4 Tons All Types</v>
      </c>
      <c r="F51" s="526">
        <f>C163</f>
        <v>11.416800000000002</v>
      </c>
      <c r="G51" s="526">
        <f>F51</f>
        <v>11.416800000000002</v>
      </c>
      <c r="H51" s="548">
        <f>'HVAC References'!C164</f>
        <v>13.4</v>
      </c>
      <c r="I51" s="537">
        <f>H51</f>
        <v>13.4</v>
      </c>
      <c r="J51" s="525"/>
      <c r="K51" s="521"/>
      <c r="L51" s="521"/>
      <c r="M51" s="483">
        <v>12.5</v>
      </c>
      <c r="N51" s="494">
        <v>15</v>
      </c>
      <c r="O51" s="501"/>
      <c r="P51" s="497">
        <f t="shared" si="0"/>
        <v>0.55000000000000004</v>
      </c>
      <c r="Q51" s="543">
        <v>1</v>
      </c>
      <c r="R51" s="751" t="s">
        <v>159</v>
      </c>
      <c r="S51" s="762" t="s">
        <v>123</v>
      </c>
      <c r="T51" s="752" t="s">
        <v>120</v>
      </c>
      <c r="U51" s="758" t="s">
        <v>868</v>
      </c>
      <c r="V51" s="758" t="s">
        <v>20</v>
      </c>
      <c r="W51" s="753"/>
      <c r="X51" s="497">
        <v>0.7</v>
      </c>
    </row>
    <row r="52" spans="2:24" ht="14.45" customHeight="1" thickBot="1" x14ac:dyDescent="0.3">
      <c r="B52" s="474" t="s">
        <v>119</v>
      </c>
      <c r="D52" s="570"/>
      <c r="E52" s="417" t="str">
        <f>$B$38&amp;" "&amp;$C42&amp;" "&amp;$B$52</f>
        <v>Packaged Terminal Air Conditioners &lt; 0.75 Tons All Types</v>
      </c>
      <c r="F52" s="488">
        <f t="shared" ref="F52:G54" si="1">$D$175</f>
        <v>14</v>
      </c>
      <c r="G52" s="466">
        <f t="shared" si="1"/>
        <v>14</v>
      </c>
      <c r="H52" s="469"/>
      <c r="I52" s="469"/>
      <c r="J52" s="468"/>
      <c r="K52" s="489"/>
      <c r="L52" s="489"/>
      <c r="M52" s="481">
        <v>12.2</v>
      </c>
      <c r="N52" s="469"/>
      <c r="O52" s="501"/>
      <c r="P52" s="498">
        <f t="shared" si="0"/>
        <v>0.55000000000000004</v>
      </c>
      <c r="Q52" s="544">
        <v>2</v>
      </c>
      <c r="R52" s="466" t="s">
        <v>447</v>
      </c>
      <c r="S52" s="663" t="s">
        <v>756</v>
      </c>
      <c r="T52" s="664" t="s">
        <v>868</v>
      </c>
      <c r="U52" s="664" t="s">
        <v>20</v>
      </c>
      <c r="V52" s="664"/>
      <c r="W52" s="756"/>
      <c r="X52" s="498">
        <v>0.7</v>
      </c>
    </row>
    <row r="53" spans="2:24" ht="14.45" customHeight="1" thickBot="1" x14ac:dyDescent="0.3">
      <c r="E53" s="364" t="str">
        <f>$B$38&amp;" "&amp;$C43&amp;" "&amp;$B$52</f>
        <v>Packaged Terminal Air Conditioners &gt; 0.75 Tons &amp; &lt; 1 Ton All Types</v>
      </c>
      <c r="F53" s="404">
        <f t="shared" si="1"/>
        <v>14</v>
      </c>
      <c r="G53" s="467">
        <f t="shared" si="1"/>
        <v>14</v>
      </c>
      <c r="H53" s="470"/>
      <c r="I53" s="470"/>
      <c r="J53" s="468"/>
      <c r="K53" s="489"/>
      <c r="L53" s="489"/>
      <c r="M53" s="482">
        <v>11.4</v>
      </c>
      <c r="N53" s="470"/>
      <c r="O53" s="501"/>
      <c r="P53" s="496">
        <f t="shared" si="0"/>
        <v>0.55000000000000004</v>
      </c>
      <c r="Q53" s="542">
        <v>2</v>
      </c>
      <c r="R53" s="467" t="s">
        <v>450</v>
      </c>
      <c r="S53" s="665" t="s">
        <v>756</v>
      </c>
      <c r="T53" s="86" t="s">
        <v>868</v>
      </c>
      <c r="U53" s="86" t="s">
        <v>20</v>
      </c>
      <c r="V53" s="86"/>
      <c r="W53" s="757"/>
      <c r="X53" s="496">
        <v>0.7</v>
      </c>
    </row>
    <row r="54" spans="2:24" ht="14.45" customHeight="1" thickBot="1" x14ac:dyDescent="0.3">
      <c r="B54" s="367" t="s">
        <v>19</v>
      </c>
      <c r="E54" s="365" t="str">
        <f>$B$38&amp;" "&amp;$C44&amp;" "&amp;$B$52</f>
        <v>Packaged Terminal Air Conditioners &gt; 1 Ton All Types</v>
      </c>
      <c r="F54" s="405">
        <f t="shared" si="1"/>
        <v>14</v>
      </c>
      <c r="G54" s="510">
        <f t="shared" si="1"/>
        <v>14</v>
      </c>
      <c r="H54" s="471"/>
      <c r="I54" s="471"/>
      <c r="J54" s="468"/>
      <c r="K54" s="489"/>
      <c r="L54" s="489"/>
      <c r="M54" s="483">
        <v>10.4</v>
      </c>
      <c r="N54" s="471"/>
      <c r="O54" s="474"/>
      <c r="P54" s="497">
        <f t="shared" si="0"/>
        <v>0.55000000000000004</v>
      </c>
      <c r="Q54" s="543">
        <v>2</v>
      </c>
      <c r="R54" s="751" t="s">
        <v>452</v>
      </c>
      <c r="S54" s="760" t="s">
        <v>756</v>
      </c>
      <c r="T54" s="761" t="s">
        <v>868</v>
      </c>
      <c r="U54" s="761" t="s">
        <v>20</v>
      </c>
      <c r="V54" s="761"/>
      <c r="W54" s="757"/>
      <c r="X54" s="497">
        <v>0.7</v>
      </c>
    </row>
    <row r="55" spans="2:24" ht="14.45" customHeight="1" x14ac:dyDescent="0.25">
      <c r="B55" s="540">
        <v>0.55000000000000004</v>
      </c>
      <c r="D55" s="569"/>
      <c r="E55" s="515" t="str">
        <f>$B$39&amp;" "&amp;$C42&amp;" "&amp;$B$52</f>
        <v>Packaged Terminal Heat Pumps &lt; 0.75 Tons All Types</v>
      </c>
      <c r="F55" s="530">
        <f>$D$187</f>
        <v>14</v>
      </c>
      <c r="G55" s="533">
        <v>14</v>
      </c>
      <c r="H55" s="531"/>
      <c r="I55" s="532"/>
      <c r="J55" s="530">
        <f>$D$188</f>
        <v>3.7</v>
      </c>
      <c r="K55" s="533">
        <f>$D$198</f>
        <v>0.82</v>
      </c>
      <c r="L55" s="534">
        <f>$D$199</f>
        <v>0.81</v>
      </c>
      <c r="M55" s="481">
        <v>12.2</v>
      </c>
      <c r="N55" s="469"/>
      <c r="O55" s="511">
        <v>3.5</v>
      </c>
      <c r="P55" s="498">
        <f>$B$56</f>
        <v>600</v>
      </c>
      <c r="Q55" s="544">
        <v>3</v>
      </c>
      <c r="R55" s="466" t="s">
        <v>457</v>
      </c>
      <c r="S55" s="663" t="s">
        <v>757</v>
      </c>
      <c r="T55" s="664" t="s">
        <v>756</v>
      </c>
      <c r="U55" s="664" t="s">
        <v>868</v>
      </c>
      <c r="V55" s="664" t="s">
        <v>20</v>
      </c>
      <c r="W55" s="753"/>
      <c r="X55" s="1088">
        <v>750</v>
      </c>
    </row>
    <row r="56" spans="2:24" ht="15.75" thickBot="1" x14ac:dyDescent="0.3">
      <c r="B56" s="539">
        <v>600</v>
      </c>
      <c r="D56" s="569"/>
      <c r="E56" s="513" t="str">
        <f>$B$39&amp;" "&amp;$C43&amp;" "&amp;$B$52</f>
        <v>Packaged Terminal Heat Pumps &gt; 0.75 Tons &amp; &lt; 1 Ton All Types</v>
      </c>
      <c r="F56" s="524">
        <f>$D$187</f>
        <v>14</v>
      </c>
      <c r="G56" s="523">
        <v>14</v>
      </c>
      <c r="H56" s="535"/>
      <c r="I56" s="529"/>
      <c r="J56" s="524">
        <f>$D$188</f>
        <v>3.7</v>
      </c>
      <c r="K56" s="523">
        <f>$D$198</f>
        <v>0.82</v>
      </c>
      <c r="L56" s="522">
        <f>$D$199</f>
        <v>0.81</v>
      </c>
      <c r="M56" s="482">
        <v>11.4</v>
      </c>
      <c r="N56" s="470"/>
      <c r="O56" s="479">
        <v>3.3</v>
      </c>
      <c r="P56" s="496">
        <f t="shared" ref="P56:P57" si="2">$B$56</f>
        <v>600</v>
      </c>
      <c r="Q56" s="542">
        <v>3</v>
      </c>
      <c r="R56" s="467" t="s">
        <v>460</v>
      </c>
      <c r="S56" s="665" t="s">
        <v>757</v>
      </c>
      <c r="T56" s="86" t="s">
        <v>756</v>
      </c>
      <c r="U56" s="86" t="s">
        <v>868</v>
      </c>
      <c r="V56" s="86" t="s">
        <v>20</v>
      </c>
      <c r="W56" s="755"/>
      <c r="X56" s="1089">
        <v>750</v>
      </c>
    </row>
    <row r="57" spans="2:24" ht="15.75" thickBot="1" x14ac:dyDescent="0.3">
      <c r="D57" s="569"/>
      <c r="E57" s="516" t="str">
        <f>$B$39&amp;" "&amp;$C44&amp;" "&amp;$B$52</f>
        <v>Packaged Terminal Heat Pumps &gt; 1 Ton All Types</v>
      </c>
      <c r="F57" s="536">
        <f>$D$187</f>
        <v>14</v>
      </c>
      <c r="G57" s="527">
        <v>14</v>
      </c>
      <c r="H57" s="537"/>
      <c r="I57" s="538"/>
      <c r="J57" s="536">
        <f>$D$188</f>
        <v>3.7</v>
      </c>
      <c r="K57" s="527">
        <f>$D$198</f>
        <v>0.82</v>
      </c>
      <c r="L57" s="526">
        <f>$D$199</f>
        <v>0.81</v>
      </c>
      <c r="M57" s="483">
        <v>10.4</v>
      </c>
      <c r="N57" s="471"/>
      <c r="O57" s="480">
        <v>3.1</v>
      </c>
      <c r="P57" s="497">
        <f t="shared" si="2"/>
        <v>600</v>
      </c>
      <c r="Q57" s="543">
        <v>3</v>
      </c>
      <c r="R57" s="751" t="s">
        <v>463</v>
      </c>
      <c r="S57" s="667" t="s">
        <v>757</v>
      </c>
      <c r="T57" s="654" t="s">
        <v>756</v>
      </c>
      <c r="U57" s="654" t="s">
        <v>868</v>
      </c>
      <c r="V57" s="654" t="s">
        <v>20</v>
      </c>
      <c r="W57" s="759"/>
      <c r="X57" s="1090">
        <v>750</v>
      </c>
    </row>
    <row r="58" spans="2:24" x14ac:dyDescent="0.25">
      <c r="E58" s="570"/>
    </row>
    <row r="61" spans="2:24" x14ac:dyDescent="0.25">
      <c r="K61">
        <v>84</v>
      </c>
      <c r="L61">
        <v>86</v>
      </c>
    </row>
    <row r="68" spans="1:7" ht="27" thickBot="1" x14ac:dyDescent="0.45">
      <c r="A68" s="406" t="s">
        <v>1535</v>
      </c>
      <c r="B68" s="407"/>
    </row>
    <row r="69" spans="1:7" ht="15.75" thickBot="1" x14ac:dyDescent="0.3"/>
    <row r="70" spans="1:7" x14ac:dyDescent="0.25">
      <c r="B70" s="1410" t="s">
        <v>1502</v>
      </c>
      <c r="C70" s="1411"/>
      <c r="D70" s="1411"/>
      <c r="E70" s="1411"/>
      <c r="F70" s="1411"/>
      <c r="G70" s="1412"/>
    </row>
    <row r="71" spans="1:7" x14ac:dyDescent="0.25">
      <c r="B71" s="1404" t="s">
        <v>13</v>
      </c>
      <c r="C71" s="1406" t="s">
        <v>1503</v>
      </c>
      <c r="D71" s="1413" t="s">
        <v>1504</v>
      </c>
      <c r="E71" s="1414"/>
      <c r="F71" s="1415"/>
      <c r="G71" s="1408" t="s">
        <v>1505</v>
      </c>
    </row>
    <row r="72" spans="1:7" ht="15.75" thickBot="1" x14ac:dyDescent="0.3">
      <c r="B72" s="1405"/>
      <c r="C72" s="1407"/>
      <c r="D72" s="378" t="s">
        <v>1506</v>
      </c>
      <c r="E72" s="378" t="s">
        <v>1507</v>
      </c>
      <c r="F72" s="378" t="s">
        <v>1531</v>
      </c>
      <c r="G72" s="1409"/>
    </row>
    <row r="73" spans="1:7" ht="35.1" customHeight="1" x14ac:dyDescent="0.25">
      <c r="B73" s="1386" t="s">
        <v>1495</v>
      </c>
      <c r="C73" s="368" t="s">
        <v>1493</v>
      </c>
      <c r="D73" s="379">
        <f>(1.12*D75)-(0.02*D75^2)</f>
        <v>11.416800000000002</v>
      </c>
      <c r="E73" s="379">
        <f>(1.12*E75)-(0.02*E75^2)</f>
        <v>11.416800000000002</v>
      </c>
      <c r="F73" s="379" t="s">
        <v>18</v>
      </c>
      <c r="G73" s="380" t="s">
        <v>1508</v>
      </c>
    </row>
    <row r="74" spans="1:7" ht="35.1" customHeight="1" x14ac:dyDescent="0.25">
      <c r="B74" s="1386"/>
      <c r="C74" s="370" t="s">
        <v>407</v>
      </c>
      <c r="D74" s="371" t="s">
        <v>1509</v>
      </c>
      <c r="E74" s="371" t="s">
        <v>1509</v>
      </c>
      <c r="F74" s="371" t="s">
        <v>18</v>
      </c>
      <c r="G74" s="381" t="s">
        <v>1509</v>
      </c>
    </row>
    <row r="75" spans="1:7" ht="35.1" customHeight="1" x14ac:dyDescent="0.25">
      <c r="B75" s="1386"/>
      <c r="C75" s="372" t="s">
        <v>1494</v>
      </c>
      <c r="D75" s="369">
        <v>13.4</v>
      </c>
      <c r="E75" s="373">
        <v>13.4</v>
      </c>
      <c r="F75" s="369" t="s">
        <v>18</v>
      </c>
      <c r="G75" s="382" t="s">
        <v>1510</v>
      </c>
    </row>
    <row r="76" spans="1:7" ht="35.1" customHeight="1" x14ac:dyDescent="0.25">
      <c r="B76" s="1386"/>
      <c r="C76" s="372" t="s">
        <v>1511</v>
      </c>
      <c r="D76" s="374" t="s">
        <v>1509</v>
      </c>
      <c r="E76" s="375" t="s">
        <v>1512</v>
      </c>
      <c r="F76" s="375" t="s">
        <v>18</v>
      </c>
      <c r="G76" s="383" t="s">
        <v>1513</v>
      </c>
    </row>
    <row r="77" spans="1:7" ht="35.1" customHeight="1" thickBot="1" x14ac:dyDescent="0.3">
      <c r="B77" s="1386"/>
      <c r="C77" s="385" t="s">
        <v>1514</v>
      </c>
      <c r="D77" s="387" t="s">
        <v>1512</v>
      </c>
      <c r="E77" s="387" t="s">
        <v>1512</v>
      </c>
      <c r="F77" s="387" t="s">
        <v>18</v>
      </c>
      <c r="G77" s="386" t="s">
        <v>1513</v>
      </c>
    </row>
    <row r="78" spans="1:7" ht="35.1" customHeight="1" x14ac:dyDescent="0.25">
      <c r="B78" s="1399" t="s">
        <v>1496</v>
      </c>
      <c r="C78" s="1367" t="s">
        <v>1515</v>
      </c>
      <c r="D78" s="1400">
        <v>12.9</v>
      </c>
      <c r="E78" s="1400"/>
      <c r="F78" s="388" t="s">
        <v>1529</v>
      </c>
      <c r="G78" s="1383" t="s">
        <v>1516</v>
      </c>
    </row>
    <row r="79" spans="1:7" ht="35.1" customHeight="1" x14ac:dyDescent="0.25">
      <c r="B79" s="1393"/>
      <c r="C79" s="1368"/>
      <c r="D79" s="1416">
        <v>12.7</v>
      </c>
      <c r="E79" s="1416"/>
      <c r="F79" s="389" t="s">
        <v>1530</v>
      </c>
      <c r="G79" s="1384"/>
    </row>
    <row r="80" spans="1:7" ht="35.1" customHeight="1" x14ac:dyDescent="0.25">
      <c r="B80" s="1393"/>
      <c r="C80" s="1369" t="s">
        <v>1517</v>
      </c>
      <c r="D80" s="1370">
        <v>14.8</v>
      </c>
      <c r="E80" s="1371"/>
      <c r="F80" s="390" t="s">
        <v>1529</v>
      </c>
      <c r="G80" s="1380" t="s">
        <v>1518</v>
      </c>
    </row>
    <row r="81" spans="2:7" ht="35.1" customHeight="1" x14ac:dyDescent="0.25">
      <c r="B81" s="1393"/>
      <c r="C81" s="1368"/>
      <c r="D81" s="1370">
        <v>14.6</v>
      </c>
      <c r="E81" s="1371"/>
      <c r="F81" s="390" t="s">
        <v>1530</v>
      </c>
      <c r="G81" s="1381"/>
    </row>
    <row r="82" spans="2:7" ht="35.1" customHeight="1" x14ac:dyDescent="0.25">
      <c r="B82" s="1393"/>
      <c r="C82" s="391" t="s">
        <v>1511</v>
      </c>
      <c r="D82" s="392" t="s">
        <v>1512</v>
      </c>
      <c r="E82" s="392" t="s">
        <v>1512</v>
      </c>
      <c r="F82" s="392" t="s">
        <v>18</v>
      </c>
      <c r="G82" s="393" t="s">
        <v>1513</v>
      </c>
    </row>
    <row r="83" spans="2:7" ht="35.1" customHeight="1" thickBot="1" x14ac:dyDescent="0.3">
      <c r="B83" s="1394"/>
      <c r="C83" s="394" t="s">
        <v>1519</v>
      </c>
      <c r="D83" s="395" t="s">
        <v>1512</v>
      </c>
      <c r="E83" s="395" t="s">
        <v>1512</v>
      </c>
      <c r="F83" s="395" t="s">
        <v>18</v>
      </c>
      <c r="G83" s="396" t="s">
        <v>1513</v>
      </c>
    </row>
    <row r="84" spans="2:7" ht="35.1" customHeight="1" x14ac:dyDescent="0.25">
      <c r="B84" s="1386" t="s">
        <v>1497</v>
      </c>
      <c r="C84" s="1390" t="s">
        <v>1515</v>
      </c>
      <c r="D84" s="1397">
        <v>12.6</v>
      </c>
      <c r="E84" s="1398"/>
      <c r="F84" s="401" t="s">
        <v>1529</v>
      </c>
      <c r="G84" s="1366" t="s">
        <v>1520</v>
      </c>
    </row>
    <row r="85" spans="2:7" ht="35.1" customHeight="1" x14ac:dyDescent="0.25">
      <c r="B85" s="1386"/>
      <c r="C85" s="1391"/>
      <c r="D85" s="1313">
        <v>12.4</v>
      </c>
      <c r="E85" s="1314"/>
      <c r="F85" s="401" t="s">
        <v>1530</v>
      </c>
      <c r="G85" s="1365"/>
    </row>
    <row r="86" spans="2:7" ht="35.1" customHeight="1" x14ac:dyDescent="0.25">
      <c r="B86" s="1386"/>
      <c r="C86" s="1392" t="s">
        <v>1517</v>
      </c>
      <c r="D86" s="1313">
        <v>14.2</v>
      </c>
      <c r="E86" s="1314"/>
      <c r="F86" s="402" t="s">
        <v>1529</v>
      </c>
      <c r="G86" s="1364" t="s">
        <v>1518</v>
      </c>
    </row>
    <row r="87" spans="2:7" ht="35.1" customHeight="1" x14ac:dyDescent="0.25">
      <c r="B87" s="1386"/>
      <c r="C87" s="1391"/>
      <c r="D87" s="1313">
        <v>14</v>
      </c>
      <c r="E87" s="1363"/>
      <c r="F87" s="403" t="s">
        <v>1530</v>
      </c>
      <c r="G87" s="1365"/>
    </row>
    <row r="88" spans="2:7" ht="35.1" customHeight="1" x14ac:dyDescent="0.25">
      <c r="B88" s="1386"/>
      <c r="C88" s="372" t="s">
        <v>1511</v>
      </c>
      <c r="D88" s="374" t="s">
        <v>1512</v>
      </c>
      <c r="E88" s="374" t="s">
        <v>1512</v>
      </c>
      <c r="F88" s="374" t="s">
        <v>18</v>
      </c>
      <c r="G88" s="382" t="s">
        <v>1513</v>
      </c>
    </row>
    <row r="89" spans="2:7" ht="35.1" customHeight="1" thickBot="1" x14ac:dyDescent="0.3">
      <c r="B89" s="1387"/>
      <c r="C89" s="376" t="s">
        <v>1519</v>
      </c>
      <c r="D89" s="377" t="s">
        <v>1512</v>
      </c>
      <c r="E89" s="377" t="s">
        <v>1512</v>
      </c>
      <c r="F89" s="377" t="s">
        <v>18</v>
      </c>
      <c r="G89" s="384" t="s">
        <v>1513</v>
      </c>
    </row>
    <row r="90" spans="2:7" ht="35.1" customHeight="1" x14ac:dyDescent="0.25">
      <c r="B90" s="1401" t="s">
        <v>1498</v>
      </c>
      <c r="C90" s="1367" t="s">
        <v>1515</v>
      </c>
      <c r="D90" s="1402">
        <v>11.4</v>
      </c>
      <c r="E90" s="1403"/>
      <c r="F90" s="388" t="s">
        <v>1529</v>
      </c>
      <c r="G90" s="1382" t="s">
        <v>1521</v>
      </c>
    </row>
    <row r="91" spans="2:7" ht="35.1" customHeight="1" x14ac:dyDescent="0.25">
      <c r="B91" s="1393"/>
      <c r="C91" s="1368"/>
      <c r="D91" s="1370">
        <v>11.2</v>
      </c>
      <c r="E91" s="1371"/>
      <c r="F91" s="389" t="s">
        <v>1530</v>
      </c>
      <c r="G91" s="1381"/>
    </row>
    <row r="92" spans="2:7" ht="35.1" customHeight="1" x14ac:dyDescent="0.25">
      <c r="B92" s="1393"/>
      <c r="C92" s="1369" t="s">
        <v>1517</v>
      </c>
      <c r="D92" s="1370">
        <v>13.2</v>
      </c>
      <c r="E92" s="1371"/>
      <c r="F92" s="390" t="s">
        <v>1529</v>
      </c>
      <c r="G92" s="1380" t="s">
        <v>1518</v>
      </c>
    </row>
    <row r="93" spans="2:7" ht="35.1" customHeight="1" x14ac:dyDescent="0.25">
      <c r="B93" s="1393"/>
      <c r="C93" s="1368"/>
      <c r="D93" s="1370">
        <v>13</v>
      </c>
      <c r="E93" s="1371"/>
      <c r="F93" s="390" t="s">
        <v>1530</v>
      </c>
      <c r="G93" s="1381"/>
    </row>
    <row r="94" spans="2:7" ht="35.1" customHeight="1" x14ac:dyDescent="0.25">
      <c r="B94" s="1393"/>
      <c r="C94" s="391" t="s">
        <v>1511</v>
      </c>
      <c r="D94" s="392" t="s">
        <v>1512</v>
      </c>
      <c r="E94" s="392" t="s">
        <v>1512</v>
      </c>
      <c r="F94" s="392"/>
      <c r="G94" s="393" t="s">
        <v>1513</v>
      </c>
    </row>
    <row r="95" spans="2:7" ht="35.1" customHeight="1" thickBot="1" x14ac:dyDescent="0.3">
      <c r="B95" s="1394"/>
      <c r="C95" s="394" t="s">
        <v>1519</v>
      </c>
      <c r="D95" s="395" t="s">
        <v>1512</v>
      </c>
      <c r="E95" s="395" t="s">
        <v>1512</v>
      </c>
      <c r="F95" s="395"/>
      <c r="G95" s="396" t="s">
        <v>1513</v>
      </c>
    </row>
    <row r="96" spans="2:7" ht="35.1" customHeight="1" x14ac:dyDescent="0.25">
      <c r="B96" s="1385" t="s">
        <v>1499</v>
      </c>
      <c r="C96" s="1390" t="s">
        <v>1515</v>
      </c>
      <c r="D96" s="1388">
        <v>9.6999999999999993</v>
      </c>
      <c r="E96" s="1389"/>
      <c r="F96" s="401" t="s">
        <v>1529</v>
      </c>
      <c r="G96" s="1366" t="s">
        <v>1522</v>
      </c>
    </row>
    <row r="97" spans="1:7" ht="35.1" customHeight="1" x14ac:dyDescent="0.25">
      <c r="B97" s="1386"/>
      <c r="C97" s="1391"/>
      <c r="D97" s="1313">
        <v>9.5</v>
      </c>
      <c r="E97" s="1314"/>
      <c r="F97" s="401" t="s">
        <v>1530</v>
      </c>
      <c r="G97" s="1365"/>
    </row>
    <row r="98" spans="1:7" ht="35.1" customHeight="1" x14ac:dyDescent="0.25">
      <c r="B98" s="1386"/>
      <c r="C98" s="1392" t="s">
        <v>1517</v>
      </c>
      <c r="D98" s="1313">
        <v>11.2</v>
      </c>
      <c r="E98" s="1314"/>
      <c r="F98" s="402" t="s">
        <v>1529</v>
      </c>
      <c r="G98" s="1364" t="s">
        <v>1522</v>
      </c>
    </row>
    <row r="99" spans="1:7" ht="35.1" customHeight="1" x14ac:dyDescent="0.25">
      <c r="B99" s="1386"/>
      <c r="C99" s="1391"/>
      <c r="D99" s="1313">
        <v>11</v>
      </c>
      <c r="E99" s="1314"/>
      <c r="F99" s="403" t="s">
        <v>1530</v>
      </c>
      <c r="G99" s="1365"/>
    </row>
    <row r="100" spans="1:7" ht="35.1" customHeight="1" x14ac:dyDescent="0.25">
      <c r="B100" s="1386"/>
      <c r="C100" s="372" t="s">
        <v>1511</v>
      </c>
      <c r="D100" s="374" t="s">
        <v>1512</v>
      </c>
      <c r="E100" s="374" t="s">
        <v>1512</v>
      </c>
      <c r="F100" s="374"/>
      <c r="G100" s="382" t="s">
        <v>1513</v>
      </c>
    </row>
    <row r="101" spans="1:7" ht="35.1" customHeight="1" thickBot="1" x14ac:dyDescent="0.3">
      <c r="B101" s="1387"/>
      <c r="C101" s="376" t="s">
        <v>1519</v>
      </c>
      <c r="D101" s="377" t="s">
        <v>1512</v>
      </c>
      <c r="E101" s="377" t="s">
        <v>1512</v>
      </c>
      <c r="F101" s="377"/>
      <c r="G101" s="384" t="s">
        <v>1513</v>
      </c>
    </row>
    <row r="102" spans="1:7" ht="35.1" customHeight="1" x14ac:dyDescent="0.25">
      <c r="B102" s="1393" t="s">
        <v>14</v>
      </c>
      <c r="C102" s="397" t="s">
        <v>1523</v>
      </c>
      <c r="D102" s="1395">
        <v>0.45</v>
      </c>
      <c r="E102" s="1396"/>
      <c r="F102" s="398"/>
      <c r="G102" s="1374" t="s">
        <v>1524</v>
      </c>
    </row>
    <row r="103" spans="1:7" ht="35.1" customHeight="1" x14ac:dyDescent="0.25">
      <c r="B103" s="1393"/>
      <c r="C103" s="391" t="s">
        <v>1525</v>
      </c>
      <c r="D103" s="1376">
        <v>0.63</v>
      </c>
      <c r="E103" s="1377"/>
      <c r="F103" s="398"/>
      <c r="G103" s="1374"/>
    </row>
    <row r="104" spans="1:7" ht="35.1" customHeight="1" x14ac:dyDescent="0.25">
      <c r="B104" s="1393"/>
      <c r="C104" s="391" t="s">
        <v>1526</v>
      </c>
      <c r="D104" s="1376">
        <v>0.56999999999999995</v>
      </c>
      <c r="E104" s="1377"/>
      <c r="F104" s="399"/>
      <c r="G104" s="1375"/>
    </row>
    <row r="105" spans="1:7" ht="35.1" customHeight="1" thickBot="1" x14ac:dyDescent="0.3">
      <c r="B105" s="1394"/>
      <c r="C105" s="394" t="s">
        <v>1527</v>
      </c>
      <c r="D105" s="1378" t="s">
        <v>1512</v>
      </c>
      <c r="E105" s="1379"/>
      <c r="F105" s="400"/>
      <c r="G105" s="396" t="s">
        <v>1528</v>
      </c>
    </row>
    <row r="108" spans="1:7" ht="24" thickBot="1" x14ac:dyDescent="0.4">
      <c r="A108" s="406" t="s">
        <v>1573</v>
      </c>
      <c r="B108" s="445"/>
    </row>
    <row r="109" spans="1:7" ht="15.75" thickBot="1" x14ac:dyDescent="0.3"/>
    <row r="110" spans="1:7" x14ac:dyDescent="0.25">
      <c r="B110" s="1356" t="s">
        <v>1502</v>
      </c>
      <c r="C110" s="1357"/>
      <c r="D110" s="1357"/>
      <c r="E110" s="1357"/>
      <c r="F110" s="1357"/>
      <c r="G110" s="1358"/>
    </row>
    <row r="111" spans="1:7" x14ac:dyDescent="0.25">
      <c r="B111" s="1359" t="s">
        <v>1574</v>
      </c>
      <c r="C111" s="1361" t="s">
        <v>13</v>
      </c>
      <c r="D111" s="1361" t="s">
        <v>1503</v>
      </c>
      <c r="E111" s="1361" t="s">
        <v>1504</v>
      </c>
      <c r="F111" s="1361" t="s">
        <v>1531</v>
      </c>
      <c r="G111" s="1372" t="s">
        <v>1505</v>
      </c>
    </row>
    <row r="112" spans="1:7" ht="15.75" thickBot="1" x14ac:dyDescent="0.3">
      <c r="B112" s="1360"/>
      <c r="C112" s="1362"/>
      <c r="D112" s="1362"/>
      <c r="E112" s="1362"/>
      <c r="F112" s="1362"/>
      <c r="G112" s="1373"/>
    </row>
    <row r="113" spans="2:7" ht="35.1" customHeight="1" x14ac:dyDescent="0.25">
      <c r="B113" s="1328" t="s">
        <v>1575</v>
      </c>
      <c r="C113" s="1319" t="s">
        <v>1495</v>
      </c>
      <c r="D113" s="460" t="s">
        <v>408</v>
      </c>
      <c r="E113" s="552">
        <v>12.1</v>
      </c>
      <c r="F113" s="1354" t="s">
        <v>18</v>
      </c>
      <c r="G113" s="1302" t="s">
        <v>1576</v>
      </c>
    </row>
    <row r="114" spans="2:7" ht="35.1" customHeight="1" thickBot="1" x14ac:dyDescent="0.3">
      <c r="B114" s="1329"/>
      <c r="C114" s="1321"/>
      <c r="D114" s="554" t="s">
        <v>1546</v>
      </c>
      <c r="E114" s="555">
        <v>12.3</v>
      </c>
      <c r="F114" s="1355"/>
      <c r="G114" s="1303"/>
    </row>
    <row r="115" spans="2:7" ht="35.1" customHeight="1" x14ac:dyDescent="0.25">
      <c r="B115" s="1329"/>
      <c r="C115" s="1347" t="s">
        <v>1496</v>
      </c>
      <c r="D115" s="1345" t="s">
        <v>408</v>
      </c>
      <c r="E115" s="558">
        <v>12.1</v>
      </c>
      <c r="F115" s="457" t="s">
        <v>1529</v>
      </c>
      <c r="G115" s="1304" t="s">
        <v>1576</v>
      </c>
    </row>
    <row r="116" spans="2:7" ht="35.1" customHeight="1" x14ac:dyDescent="0.25">
      <c r="B116" s="1329"/>
      <c r="C116" s="1341"/>
      <c r="D116" s="1317"/>
      <c r="E116" s="556">
        <v>11.9</v>
      </c>
      <c r="F116" s="557" t="s">
        <v>1530</v>
      </c>
      <c r="G116" s="1305"/>
    </row>
    <row r="117" spans="2:7" ht="35.1" customHeight="1" x14ac:dyDescent="0.25">
      <c r="B117" s="1329"/>
      <c r="C117" s="1341"/>
      <c r="D117" s="1317" t="s">
        <v>1546</v>
      </c>
      <c r="E117" s="556">
        <v>13.9</v>
      </c>
      <c r="F117" s="557" t="s">
        <v>1529</v>
      </c>
      <c r="G117" s="1305"/>
    </row>
    <row r="118" spans="2:7" ht="35.1" customHeight="1" thickBot="1" x14ac:dyDescent="0.3">
      <c r="B118" s="1329"/>
      <c r="C118" s="1348"/>
      <c r="D118" s="1318"/>
      <c r="E118" s="561">
        <v>13.7</v>
      </c>
      <c r="F118" s="562" t="s">
        <v>1530</v>
      </c>
      <c r="G118" s="1305"/>
    </row>
    <row r="119" spans="2:7" ht="35.1" customHeight="1" x14ac:dyDescent="0.25">
      <c r="B119" s="1329"/>
      <c r="C119" s="1319" t="s">
        <v>1497</v>
      </c>
      <c r="D119" s="1352" t="s">
        <v>408</v>
      </c>
      <c r="E119" s="552">
        <v>12.5</v>
      </c>
      <c r="F119" s="455" t="s">
        <v>1529</v>
      </c>
      <c r="G119" s="1302" t="s">
        <v>1576</v>
      </c>
    </row>
    <row r="120" spans="2:7" ht="35.1" customHeight="1" x14ac:dyDescent="0.25">
      <c r="B120" s="1329"/>
      <c r="C120" s="1320"/>
      <c r="D120" s="1353"/>
      <c r="E120" s="550">
        <v>12.3</v>
      </c>
      <c r="F120" s="403" t="s">
        <v>1530</v>
      </c>
      <c r="G120" s="1306"/>
    </row>
    <row r="121" spans="2:7" ht="35.1" customHeight="1" x14ac:dyDescent="0.25">
      <c r="B121" s="1329"/>
      <c r="C121" s="1320"/>
      <c r="D121" s="1322" t="s">
        <v>1546</v>
      </c>
      <c r="E121" s="550">
        <v>13.9</v>
      </c>
      <c r="F121" s="403" t="s">
        <v>1529</v>
      </c>
      <c r="G121" s="1306"/>
    </row>
    <row r="122" spans="2:7" ht="35.1" customHeight="1" thickBot="1" x14ac:dyDescent="0.3">
      <c r="B122" s="1329"/>
      <c r="C122" s="1321"/>
      <c r="D122" s="1323"/>
      <c r="E122" s="555">
        <v>13.7</v>
      </c>
      <c r="F122" s="456" t="s">
        <v>1530</v>
      </c>
      <c r="G122" s="1303"/>
    </row>
    <row r="123" spans="2:7" ht="35.1" customHeight="1" x14ac:dyDescent="0.25">
      <c r="B123" s="1329"/>
      <c r="C123" s="1347" t="s">
        <v>1498</v>
      </c>
      <c r="D123" s="1345" t="s">
        <v>408</v>
      </c>
      <c r="E123" s="558">
        <v>12.4</v>
      </c>
      <c r="F123" s="457" t="s">
        <v>1529</v>
      </c>
      <c r="G123" s="1349" t="s">
        <v>1576</v>
      </c>
    </row>
    <row r="124" spans="2:7" ht="35.1" customHeight="1" x14ac:dyDescent="0.25">
      <c r="B124" s="1329"/>
      <c r="C124" s="1341"/>
      <c r="D124" s="1317"/>
      <c r="E124" s="556">
        <v>12.2</v>
      </c>
      <c r="F124" s="557" t="s">
        <v>1530</v>
      </c>
      <c r="G124" s="1350"/>
    </row>
    <row r="125" spans="2:7" ht="35.1" customHeight="1" x14ac:dyDescent="0.25">
      <c r="B125" s="1329"/>
      <c r="C125" s="1341"/>
      <c r="D125" s="1317" t="s">
        <v>1546</v>
      </c>
      <c r="E125" s="556">
        <v>13.6</v>
      </c>
      <c r="F125" s="557" t="s">
        <v>1529</v>
      </c>
      <c r="G125" s="1350"/>
    </row>
    <row r="126" spans="2:7" ht="35.1" customHeight="1" thickBot="1" x14ac:dyDescent="0.3">
      <c r="B126" s="1329"/>
      <c r="C126" s="1348"/>
      <c r="D126" s="1318"/>
      <c r="E126" s="561">
        <v>13.4</v>
      </c>
      <c r="F126" s="562" t="s">
        <v>1530</v>
      </c>
      <c r="G126" s="1351"/>
    </row>
    <row r="127" spans="2:7" ht="35.1" customHeight="1" x14ac:dyDescent="0.25">
      <c r="B127" s="1330"/>
      <c r="C127" s="1319" t="s">
        <v>1577</v>
      </c>
      <c r="D127" s="1346" t="s">
        <v>408</v>
      </c>
      <c r="E127" s="552">
        <v>12.2</v>
      </c>
      <c r="F127" s="455" t="s">
        <v>1529</v>
      </c>
      <c r="G127" s="1302" t="s">
        <v>1576</v>
      </c>
    </row>
    <row r="128" spans="2:7" ht="35.1" customHeight="1" x14ac:dyDescent="0.25">
      <c r="B128" s="1330"/>
      <c r="C128" s="1320"/>
      <c r="D128" s="1338"/>
      <c r="E128" s="550">
        <v>12</v>
      </c>
      <c r="F128" s="403" t="s">
        <v>1530</v>
      </c>
      <c r="G128" s="1306"/>
    </row>
    <row r="129" spans="2:7" ht="35.1" customHeight="1" x14ac:dyDescent="0.25">
      <c r="B129" s="1330"/>
      <c r="C129" s="1320"/>
      <c r="D129" s="1338" t="s">
        <v>1546</v>
      </c>
      <c r="E129" s="550">
        <v>13.5</v>
      </c>
      <c r="F129" s="403" t="s">
        <v>1529</v>
      </c>
      <c r="G129" s="1306"/>
    </row>
    <row r="130" spans="2:7" ht="35.1" customHeight="1" thickBot="1" x14ac:dyDescent="0.3">
      <c r="B130" s="1331"/>
      <c r="C130" s="1336"/>
      <c r="D130" s="1339"/>
      <c r="E130" s="553">
        <v>13.3</v>
      </c>
      <c r="F130" s="454" t="s">
        <v>1530</v>
      </c>
      <c r="G130" s="1337"/>
    </row>
    <row r="131" spans="2:7" ht="35.1" customHeight="1" x14ac:dyDescent="0.25">
      <c r="B131" s="1328" t="s">
        <v>1578</v>
      </c>
      <c r="C131" s="1332" t="s">
        <v>1495</v>
      </c>
      <c r="D131" s="459" t="s">
        <v>408</v>
      </c>
      <c r="E131" s="558">
        <v>12.1</v>
      </c>
      <c r="F131" s="1334" t="s">
        <v>18</v>
      </c>
      <c r="G131" s="1349" t="s">
        <v>1576</v>
      </c>
    </row>
    <row r="132" spans="2:7" ht="35.1" customHeight="1" thickBot="1" x14ac:dyDescent="0.3">
      <c r="B132" s="1329"/>
      <c r="C132" s="1333"/>
      <c r="D132" s="560" t="s">
        <v>1546</v>
      </c>
      <c r="E132" s="561">
        <v>12.3</v>
      </c>
      <c r="F132" s="1335" t="s">
        <v>1529</v>
      </c>
      <c r="G132" s="1351" t="s">
        <v>1576</v>
      </c>
    </row>
    <row r="133" spans="2:7" ht="35.1" customHeight="1" x14ac:dyDescent="0.25">
      <c r="B133" s="1330"/>
      <c r="C133" s="1319" t="s">
        <v>1496</v>
      </c>
      <c r="D133" s="1346" t="s">
        <v>408</v>
      </c>
      <c r="E133" s="552">
        <v>12.1</v>
      </c>
      <c r="F133" s="455" t="s">
        <v>1529</v>
      </c>
      <c r="G133" s="1302" t="s">
        <v>1576</v>
      </c>
    </row>
    <row r="134" spans="2:7" ht="35.1" customHeight="1" x14ac:dyDescent="0.25">
      <c r="B134" s="1330"/>
      <c r="C134" s="1320"/>
      <c r="D134" s="1338"/>
      <c r="E134" s="550">
        <v>11.9</v>
      </c>
      <c r="F134" s="403" t="s">
        <v>1530</v>
      </c>
      <c r="G134" s="1306"/>
    </row>
    <row r="135" spans="2:7" ht="35.1" customHeight="1" x14ac:dyDescent="0.25">
      <c r="B135" s="1330"/>
      <c r="C135" s="1320"/>
      <c r="D135" s="1338" t="s">
        <v>1546</v>
      </c>
      <c r="E135" s="550">
        <v>12.3</v>
      </c>
      <c r="F135" s="403" t="s">
        <v>1529</v>
      </c>
      <c r="G135" s="1306"/>
    </row>
    <row r="136" spans="2:7" ht="35.1" customHeight="1" thickBot="1" x14ac:dyDescent="0.3">
      <c r="B136" s="1330"/>
      <c r="C136" s="1336"/>
      <c r="D136" s="1339"/>
      <c r="E136" s="553">
        <v>12.1</v>
      </c>
      <c r="F136" s="454" t="s">
        <v>1530</v>
      </c>
      <c r="G136" s="1337"/>
    </row>
    <row r="137" spans="2:7" ht="35.1" customHeight="1" x14ac:dyDescent="0.25">
      <c r="B137" s="1330"/>
      <c r="C137" s="1340" t="s">
        <v>1497</v>
      </c>
      <c r="D137" s="1343" t="s">
        <v>408</v>
      </c>
      <c r="E137" s="563">
        <v>12</v>
      </c>
      <c r="F137" s="551" t="s">
        <v>1529</v>
      </c>
      <c r="G137" s="1304" t="s">
        <v>1576</v>
      </c>
    </row>
    <row r="138" spans="2:7" ht="35.1" customHeight="1" x14ac:dyDescent="0.25">
      <c r="B138" s="1330"/>
      <c r="C138" s="1341"/>
      <c r="D138" s="1317"/>
      <c r="E138" s="556">
        <v>11.8</v>
      </c>
      <c r="F138" s="557" t="s">
        <v>1530</v>
      </c>
      <c r="G138" s="1305"/>
    </row>
    <row r="139" spans="2:7" ht="35.1" customHeight="1" x14ac:dyDescent="0.25">
      <c r="B139" s="1330"/>
      <c r="C139" s="1341"/>
      <c r="D139" s="1317" t="s">
        <v>1546</v>
      </c>
      <c r="E139" s="556">
        <v>12.2</v>
      </c>
      <c r="F139" s="557" t="s">
        <v>1529</v>
      </c>
      <c r="G139" s="1305"/>
    </row>
    <row r="140" spans="2:7" ht="35.1" customHeight="1" thickBot="1" x14ac:dyDescent="0.3">
      <c r="B140" s="1330"/>
      <c r="C140" s="1342"/>
      <c r="D140" s="1318"/>
      <c r="E140" s="559">
        <v>12</v>
      </c>
      <c r="F140" s="458" t="s">
        <v>1530</v>
      </c>
      <c r="G140" s="1344"/>
    </row>
    <row r="141" spans="2:7" ht="35.1" customHeight="1" x14ac:dyDescent="0.25">
      <c r="B141" s="1330"/>
      <c r="C141" s="1319" t="s">
        <v>1498</v>
      </c>
      <c r="D141" s="1346" t="s">
        <v>408</v>
      </c>
      <c r="E141" s="552">
        <v>11.9</v>
      </c>
      <c r="F141" s="455" t="s">
        <v>1529</v>
      </c>
      <c r="G141" s="1302" t="s">
        <v>1576</v>
      </c>
    </row>
    <row r="142" spans="2:7" ht="35.1" customHeight="1" x14ac:dyDescent="0.25">
      <c r="B142" s="1330"/>
      <c r="C142" s="1320"/>
      <c r="D142" s="1338"/>
      <c r="E142" s="550">
        <v>11.7</v>
      </c>
      <c r="F142" s="403" t="s">
        <v>1530</v>
      </c>
      <c r="G142" s="1306"/>
    </row>
    <row r="143" spans="2:7" ht="35.1" customHeight="1" x14ac:dyDescent="0.25">
      <c r="B143" s="1330"/>
      <c r="C143" s="1320"/>
      <c r="D143" s="1338" t="s">
        <v>1546</v>
      </c>
      <c r="E143" s="550">
        <v>12.1</v>
      </c>
      <c r="F143" s="403" t="s">
        <v>1529</v>
      </c>
      <c r="G143" s="1306"/>
    </row>
    <row r="144" spans="2:7" ht="35.1" customHeight="1" thickBot="1" x14ac:dyDescent="0.3">
      <c r="B144" s="1330"/>
      <c r="C144" s="1336"/>
      <c r="D144" s="1339"/>
      <c r="E144" s="553">
        <v>11.9</v>
      </c>
      <c r="F144" s="454" t="s">
        <v>1530</v>
      </c>
      <c r="G144" s="1337"/>
    </row>
    <row r="145" spans="1:7" ht="35.1" customHeight="1" x14ac:dyDescent="0.25">
      <c r="B145" s="1330"/>
      <c r="C145" s="1333" t="s">
        <v>1577</v>
      </c>
      <c r="D145" s="1345" t="s">
        <v>408</v>
      </c>
      <c r="E145" s="563">
        <v>11.7</v>
      </c>
      <c r="F145" s="551" t="s">
        <v>1529</v>
      </c>
      <c r="G145" s="1304" t="s">
        <v>1576</v>
      </c>
    </row>
    <row r="146" spans="1:7" ht="35.1" customHeight="1" x14ac:dyDescent="0.25">
      <c r="B146" s="1330"/>
      <c r="C146" s="1333"/>
      <c r="D146" s="1317"/>
      <c r="E146" s="556">
        <v>11.5</v>
      </c>
      <c r="F146" s="557" t="s">
        <v>1530</v>
      </c>
      <c r="G146" s="1305"/>
    </row>
    <row r="147" spans="1:7" ht="35.1" customHeight="1" x14ac:dyDescent="0.25">
      <c r="B147" s="1330"/>
      <c r="C147" s="1333"/>
      <c r="D147" s="1317" t="s">
        <v>1546</v>
      </c>
      <c r="E147" s="556">
        <v>11.9</v>
      </c>
      <c r="F147" s="557" t="s">
        <v>1529</v>
      </c>
      <c r="G147" s="1305"/>
    </row>
    <row r="148" spans="1:7" ht="35.1" customHeight="1" thickBot="1" x14ac:dyDescent="0.3">
      <c r="B148" s="1331"/>
      <c r="C148" s="1447"/>
      <c r="D148" s="1318"/>
      <c r="E148" s="559">
        <v>11.7</v>
      </c>
      <c r="F148" s="458" t="s">
        <v>1530</v>
      </c>
      <c r="G148" s="1344"/>
    </row>
    <row r="149" spans="1:7" x14ac:dyDescent="0.25">
      <c r="B149" s="1420" t="s">
        <v>14</v>
      </c>
      <c r="C149" s="1421"/>
      <c r="D149" s="449" t="s">
        <v>1579</v>
      </c>
      <c r="E149" s="450" t="s">
        <v>1512</v>
      </c>
      <c r="F149" s="451"/>
      <c r="G149" s="461" t="s">
        <v>1576</v>
      </c>
    </row>
    <row r="150" spans="1:7" x14ac:dyDescent="0.25">
      <c r="B150" s="1330"/>
      <c r="C150" s="1422"/>
      <c r="D150" s="446" t="s">
        <v>1523</v>
      </c>
      <c r="E150" s="452">
        <v>0.45</v>
      </c>
      <c r="F150" s="447"/>
      <c r="G150" s="453" t="s">
        <v>1576</v>
      </c>
    </row>
    <row r="151" spans="1:7" x14ac:dyDescent="0.25">
      <c r="B151" s="1330"/>
      <c r="C151" s="1422"/>
      <c r="D151" s="446" t="s">
        <v>1525</v>
      </c>
      <c r="E151" s="452">
        <v>0.63</v>
      </c>
      <c r="F151" s="447"/>
      <c r="G151" s="453" t="s">
        <v>1576</v>
      </c>
    </row>
    <row r="152" spans="1:7" ht="30" x14ac:dyDescent="0.25">
      <c r="B152" s="1330"/>
      <c r="C152" s="1422"/>
      <c r="D152" s="446" t="s">
        <v>1526</v>
      </c>
      <c r="E152" s="452">
        <v>0.56999999999999995</v>
      </c>
      <c r="F152" s="447"/>
      <c r="G152" s="453" t="s">
        <v>1576</v>
      </c>
    </row>
    <row r="153" spans="1:7" ht="15.75" thickBot="1" x14ac:dyDescent="0.3">
      <c r="B153" s="1331"/>
      <c r="C153" s="1423"/>
      <c r="D153" s="462" t="s">
        <v>1527</v>
      </c>
      <c r="E153" s="463" t="s">
        <v>1512</v>
      </c>
      <c r="F153" s="448"/>
      <c r="G153" s="464" t="s">
        <v>1576</v>
      </c>
    </row>
    <row r="158" spans="1:7" ht="24" thickBot="1" x14ac:dyDescent="0.4">
      <c r="A158" s="406" t="s">
        <v>1587</v>
      </c>
      <c r="B158" s="445"/>
    </row>
    <row r="159" spans="1:7" ht="15.75" thickBot="1" x14ac:dyDescent="0.3"/>
    <row r="160" spans="1:7" x14ac:dyDescent="0.25">
      <c r="B160" s="1410" t="s">
        <v>1502</v>
      </c>
      <c r="C160" s="1411"/>
      <c r="D160" s="1411"/>
      <c r="E160" s="1412"/>
    </row>
    <row r="161" spans="1:6" x14ac:dyDescent="0.25">
      <c r="B161" s="1426" t="s">
        <v>1503</v>
      </c>
      <c r="C161" s="1324" t="s">
        <v>1504</v>
      </c>
      <c r="D161" s="1324"/>
      <c r="E161" s="1428" t="s">
        <v>1505</v>
      </c>
    </row>
    <row r="162" spans="1:6" ht="15.75" thickBot="1" x14ac:dyDescent="0.3">
      <c r="B162" s="1427"/>
      <c r="C162" s="1430" t="s">
        <v>1582</v>
      </c>
      <c r="D162" s="1431"/>
      <c r="E162" s="1429"/>
    </row>
    <row r="163" spans="1:6" ht="35.1" customHeight="1" x14ac:dyDescent="0.25">
      <c r="B163" s="475" t="s">
        <v>1493</v>
      </c>
      <c r="C163" s="1432">
        <v>11.416800000000002</v>
      </c>
      <c r="D163" s="1433"/>
      <c r="E163" s="380" t="s">
        <v>1508</v>
      </c>
    </row>
    <row r="164" spans="1:6" ht="35.1" customHeight="1" x14ac:dyDescent="0.25">
      <c r="B164" s="476" t="s">
        <v>1494</v>
      </c>
      <c r="C164" s="1434">
        <v>13.4</v>
      </c>
      <c r="D164" s="1435"/>
      <c r="E164" s="382" t="s">
        <v>1583</v>
      </c>
    </row>
    <row r="165" spans="1:6" ht="35.1" customHeight="1" x14ac:dyDescent="0.25">
      <c r="B165" s="476" t="s">
        <v>1579</v>
      </c>
      <c r="C165" s="1313" t="s">
        <v>1512</v>
      </c>
      <c r="D165" s="1314"/>
      <c r="E165" s="382" t="s">
        <v>1584</v>
      </c>
    </row>
    <row r="166" spans="1:6" ht="35.1" customHeight="1" x14ac:dyDescent="0.25">
      <c r="B166" s="476" t="s">
        <v>1585</v>
      </c>
      <c r="C166" s="1313" t="s">
        <v>1512</v>
      </c>
      <c r="D166" s="1314"/>
      <c r="E166" s="382" t="s">
        <v>1584</v>
      </c>
    </row>
    <row r="167" spans="1:6" ht="35.1" customHeight="1" x14ac:dyDescent="0.25">
      <c r="B167" s="476" t="s">
        <v>1523</v>
      </c>
      <c r="C167" s="1315">
        <v>0.45</v>
      </c>
      <c r="D167" s="1316"/>
      <c r="E167" s="477" t="s">
        <v>1524</v>
      </c>
    </row>
    <row r="168" spans="1:6" ht="35.1" customHeight="1" thickBot="1" x14ac:dyDescent="0.3">
      <c r="B168" s="478" t="s">
        <v>1527</v>
      </c>
      <c r="C168" s="1424" t="s">
        <v>1512</v>
      </c>
      <c r="D168" s="1425"/>
      <c r="E168" s="384" t="s">
        <v>1586</v>
      </c>
    </row>
    <row r="170" spans="1:6" ht="24" thickBot="1" x14ac:dyDescent="0.4">
      <c r="A170" s="487" t="s">
        <v>1588</v>
      </c>
    </row>
    <row r="172" spans="1:6" x14ac:dyDescent="0.25">
      <c r="B172" s="1325" t="s">
        <v>1502</v>
      </c>
      <c r="C172" s="1326"/>
      <c r="D172" s="1326"/>
      <c r="E172" s="1326"/>
      <c r="F172" s="1327"/>
    </row>
    <row r="173" spans="1:6" x14ac:dyDescent="0.25">
      <c r="B173" s="1324" t="s">
        <v>1589</v>
      </c>
      <c r="C173" s="1324" t="s">
        <v>1503</v>
      </c>
      <c r="D173" s="1324" t="s">
        <v>1590</v>
      </c>
      <c r="E173" s="1324" t="s">
        <v>1591</v>
      </c>
      <c r="F173" s="1324" t="s">
        <v>1505</v>
      </c>
    </row>
    <row r="174" spans="1:6" x14ac:dyDescent="0.25">
      <c r="B174" s="1324"/>
      <c r="C174" s="1324"/>
      <c r="D174" s="1324"/>
      <c r="E174" s="1324"/>
      <c r="F174" s="1324"/>
    </row>
    <row r="175" spans="1:6" ht="35.1" customHeight="1" x14ac:dyDescent="0.25">
      <c r="B175" s="1417" t="s">
        <v>1592</v>
      </c>
      <c r="C175" s="484" t="s">
        <v>1515</v>
      </c>
      <c r="D175" s="1451">
        <v>14</v>
      </c>
      <c r="E175" s="1419"/>
      <c r="F175" s="484" t="s">
        <v>1522</v>
      </c>
    </row>
    <row r="176" spans="1:6" ht="35.1" customHeight="1" x14ac:dyDescent="0.25">
      <c r="B176" s="1417"/>
      <c r="C176" s="484" t="s">
        <v>1511</v>
      </c>
      <c r="D176" s="1436" t="s">
        <v>1512</v>
      </c>
      <c r="E176" s="1436"/>
      <c r="F176" s="484" t="s">
        <v>1522</v>
      </c>
    </row>
    <row r="177" spans="1:9" ht="35.1" customHeight="1" x14ac:dyDescent="0.25">
      <c r="B177" s="1417" t="s">
        <v>1593</v>
      </c>
      <c r="C177" s="484" t="s">
        <v>1515</v>
      </c>
      <c r="D177" s="1451">
        <v>10.9</v>
      </c>
      <c r="E177" s="1419"/>
      <c r="F177" s="484" t="s">
        <v>1522</v>
      </c>
    </row>
    <row r="178" spans="1:9" ht="35.1" customHeight="1" x14ac:dyDescent="0.25">
      <c r="B178" s="1417"/>
      <c r="C178" s="484" t="s">
        <v>1511</v>
      </c>
      <c r="D178" s="1436" t="s">
        <v>1512</v>
      </c>
      <c r="E178" s="1436"/>
      <c r="F178" s="484" t="s">
        <v>1522</v>
      </c>
    </row>
    <row r="179" spans="1:9" ht="35.1" customHeight="1" x14ac:dyDescent="0.25">
      <c r="B179" s="1417" t="s">
        <v>1594</v>
      </c>
      <c r="C179" s="484" t="s">
        <v>406</v>
      </c>
      <c r="D179" s="1417">
        <v>0.45</v>
      </c>
      <c r="E179" s="1417"/>
      <c r="F179" s="486" t="s">
        <v>1524</v>
      </c>
    </row>
    <row r="180" spans="1:9" ht="35.1" customHeight="1" x14ac:dyDescent="0.25">
      <c r="B180" s="1417"/>
      <c r="C180" s="484" t="s">
        <v>1527</v>
      </c>
      <c r="D180" s="1437" t="s">
        <v>1595</v>
      </c>
      <c r="E180" s="1437"/>
      <c r="F180" s="484" t="s">
        <v>1596</v>
      </c>
    </row>
    <row r="182" spans="1:9" ht="24" thickBot="1" x14ac:dyDescent="0.4">
      <c r="A182" s="487" t="s">
        <v>1600</v>
      </c>
    </row>
    <row r="184" spans="1:9" x14ac:dyDescent="0.25">
      <c r="B184" s="1325" t="s">
        <v>1502</v>
      </c>
      <c r="C184" s="1326"/>
      <c r="D184" s="1326"/>
      <c r="E184" s="1326"/>
      <c r="F184" s="1327"/>
    </row>
    <row r="185" spans="1:9" x14ac:dyDescent="0.25">
      <c r="B185" s="1324" t="s">
        <v>1589</v>
      </c>
      <c r="C185" s="1324" t="s">
        <v>1503</v>
      </c>
      <c r="D185" s="1324" t="s">
        <v>1601</v>
      </c>
      <c r="E185" s="1324" t="s">
        <v>1591</v>
      </c>
      <c r="F185" s="1324" t="s">
        <v>1505</v>
      </c>
      <c r="H185" s="1324" t="s">
        <v>1946</v>
      </c>
      <c r="I185" s="1324" t="s">
        <v>1505</v>
      </c>
    </row>
    <row r="186" spans="1:9" x14ac:dyDescent="0.25">
      <c r="B186" s="1324"/>
      <c r="C186" s="1324"/>
      <c r="D186" s="1324"/>
      <c r="E186" s="1324"/>
      <c r="F186" s="1324"/>
      <c r="H186" s="1324"/>
      <c r="I186" s="1324"/>
    </row>
    <row r="187" spans="1:9" ht="35.1" customHeight="1" x14ac:dyDescent="0.25">
      <c r="B187" s="1417" t="s">
        <v>1602</v>
      </c>
      <c r="C187" s="502" t="s">
        <v>408</v>
      </c>
      <c r="D187" s="1418">
        <v>14</v>
      </c>
      <c r="E187" s="1419"/>
      <c r="F187" s="504" t="s">
        <v>1522</v>
      </c>
      <c r="H187" s="1104">
        <f>7000/12000</f>
        <v>0.58333333333333337</v>
      </c>
      <c r="I187" s="504" t="s">
        <v>1947</v>
      </c>
    </row>
    <row r="188" spans="1:9" ht="35.1" customHeight="1" x14ac:dyDescent="0.25">
      <c r="B188" s="1417"/>
      <c r="C188" s="502" t="s">
        <v>410</v>
      </c>
      <c r="D188" s="1418">
        <v>3.7</v>
      </c>
      <c r="E188" s="1419"/>
      <c r="F188" s="504" t="s">
        <v>1522</v>
      </c>
      <c r="H188" s="1104">
        <f>15000/12000</f>
        <v>1.25</v>
      </c>
      <c r="I188" s="504" t="s">
        <v>1908</v>
      </c>
    </row>
    <row r="189" spans="1:9" ht="35.1" customHeight="1" x14ac:dyDescent="0.25">
      <c r="B189" s="1417"/>
      <c r="C189" s="502" t="s">
        <v>1511</v>
      </c>
      <c r="D189" s="503" t="s">
        <v>1512</v>
      </c>
      <c r="E189" s="485" t="s">
        <v>1512</v>
      </c>
      <c r="F189" s="504" t="s">
        <v>1522</v>
      </c>
    </row>
    <row r="190" spans="1:9" ht="35.1" customHeight="1" x14ac:dyDescent="0.25">
      <c r="B190" s="1417"/>
      <c r="C190" s="502" t="s">
        <v>1603</v>
      </c>
      <c r="D190" s="503" t="s">
        <v>1512</v>
      </c>
      <c r="E190" s="485" t="s">
        <v>1512</v>
      </c>
      <c r="F190" s="504" t="s">
        <v>1522</v>
      </c>
    </row>
    <row r="191" spans="1:9" ht="35.1" customHeight="1" x14ac:dyDescent="0.25">
      <c r="B191" s="1417" t="s">
        <v>1604</v>
      </c>
      <c r="C191" s="484" t="s">
        <v>408</v>
      </c>
      <c r="D191" s="1451">
        <v>10.8</v>
      </c>
      <c r="E191" s="1419"/>
      <c r="F191" s="504" t="s">
        <v>1522</v>
      </c>
    </row>
    <row r="192" spans="1:9" ht="35.1" customHeight="1" x14ac:dyDescent="0.25">
      <c r="B192" s="1417"/>
      <c r="C192" s="484" t="s">
        <v>410</v>
      </c>
      <c r="D192" s="1451">
        <v>2.9</v>
      </c>
      <c r="E192" s="1419"/>
      <c r="F192" s="504" t="s">
        <v>1522</v>
      </c>
    </row>
    <row r="193" spans="1:14" ht="35.1" customHeight="1" x14ac:dyDescent="0.25">
      <c r="B193" s="1417"/>
      <c r="C193" s="484" t="s">
        <v>1511</v>
      </c>
      <c r="D193" s="485" t="s">
        <v>1512</v>
      </c>
      <c r="E193" s="485" t="s">
        <v>1512</v>
      </c>
      <c r="F193" s="504" t="s">
        <v>1522</v>
      </c>
    </row>
    <row r="194" spans="1:14" ht="35.1" customHeight="1" x14ac:dyDescent="0.25">
      <c r="B194" s="1417"/>
      <c r="C194" s="484" t="s">
        <v>1603</v>
      </c>
      <c r="D194" s="485" t="s">
        <v>1512</v>
      </c>
      <c r="E194" s="485" t="s">
        <v>1512</v>
      </c>
      <c r="F194" s="504" t="s">
        <v>1522</v>
      </c>
    </row>
    <row r="195" spans="1:14" ht="35.1" customHeight="1" x14ac:dyDescent="0.25">
      <c r="B195" s="1417" t="s">
        <v>14</v>
      </c>
      <c r="C195" s="484" t="s">
        <v>406</v>
      </c>
      <c r="D195" s="484">
        <v>0.45</v>
      </c>
      <c r="E195" s="484">
        <v>0.45</v>
      </c>
      <c r="F195" s="486" t="s">
        <v>1524</v>
      </c>
    </row>
    <row r="196" spans="1:14" ht="42.75" customHeight="1" x14ac:dyDescent="0.25">
      <c r="B196" s="1417"/>
      <c r="C196" s="505" t="s">
        <v>1605</v>
      </c>
      <c r="D196" s="1450" t="s">
        <v>1606</v>
      </c>
      <c r="E196" s="1450"/>
      <c r="F196" s="506" t="s">
        <v>1607</v>
      </c>
    </row>
    <row r="197" spans="1:14" ht="38.25" customHeight="1" x14ac:dyDescent="0.25">
      <c r="B197" s="1417"/>
      <c r="C197" s="505" t="s">
        <v>1608</v>
      </c>
      <c r="D197" s="1450" t="s">
        <v>1609</v>
      </c>
      <c r="E197" s="1450"/>
      <c r="F197" s="506" t="s">
        <v>1607</v>
      </c>
    </row>
    <row r="198" spans="1:14" ht="46.5" customHeight="1" x14ac:dyDescent="0.25">
      <c r="B198" s="1417"/>
      <c r="C198" s="509" t="s">
        <v>1614</v>
      </c>
      <c r="D198" s="1315">
        <v>0.82</v>
      </c>
      <c r="E198" s="1316"/>
      <c r="F198" s="1448" t="s">
        <v>1610</v>
      </c>
    </row>
    <row r="199" spans="1:14" ht="46.5" customHeight="1" x14ac:dyDescent="0.25">
      <c r="B199" s="1417"/>
      <c r="C199" s="505" t="s">
        <v>1615</v>
      </c>
      <c r="D199" s="1450">
        <v>0.81</v>
      </c>
      <c r="E199" s="1450"/>
      <c r="F199" s="1449"/>
    </row>
    <row r="200" spans="1:14" ht="35.1" customHeight="1" x14ac:dyDescent="0.25">
      <c r="B200" s="1417"/>
      <c r="C200" s="507" t="s">
        <v>1527</v>
      </c>
      <c r="D200" s="1338" t="s">
        <v>1512</v>
      </c>
      <c r="E200" s="1338"/>
      <c r="F200" s="508" t="s">
        <v>1528</v>
      </c>
    </row>
    <row r="201" spans="1:14" ht="35.1" customHeight="1" x14ac:dyDescent="0.25">
      <c r="B201" s="1417"/>
      <c r="C201" s="507" t="s">
        <v>1611</v>
      </c>
      <c r="D201" s="1338" t="s">
        <v>1512</v>
      </c>
      <c r="E201" s="1338"/>
      <c r="F201" s="508" t="s">
        <v>1528</v>
      </c>
    </row>
    <row r="204" spans="1:14" s="363" customFormat="1" x14ac:dyDescent="0.25"/>
    <row r="205" spans="1:14" ht="27" thickBot="1" x14ac:dyDescent="0.45">
      <c r="A205" s="1277" t="s">
        <v>1624</v>
      </c>
      <c r="B205" s="1277"/>
      <c r="H205" s="2"/>
    </row>
    <row r="207" spans="1:14" ht="15.75" thickBot="1" x14ac:dyDescent="0.3"/>
    <row r="208" spans="1:14" ht="15.75" thickBot="1" x14ac:dyDescent="0.3">
      <c r="B208" s="367" t="s">
        <v>295</v>
      </c>
      <c r="D208" s="367" t="s">
        <v>1634</v>
      </c>
      <c r="F208" s="499" t="s">
        <v>1500</v>
      </c>
      <c r="G208" s="671" t="s">
        <v>19</v>
      </c>
      <c r="H208" s="671" t="s">
        <v>1618</v>
      </c>
      <c r="I208" s="1443" t="s">
        <v>1733</v>
      </c>
      <c r="J208" s="1444"/>
      <c r="K208" s="1444"/>
      <c r="L208" s="1444"/>
      <c r="M208" s="1444"/>
      <c r="N208" s="1445"/>
    </row>
    <row r="209" spans="2:18" x14ac:dyDescent="0.25">
      <c r="B209" s="366" t="s">
        <v>807</v>
      </c>
      <c r="D209" s="584">
        <v>0.65</v>
      </c>
      <c r="F209" s="663" t="str">
        <f>B209</f>
        <v>Ductless Mini-Split Cold Climate Heat Pumps</v>
      </c>
      <c r="G209" s="766">
        <f>H220</f>
        <v>600</v>
      </c>
      <c r="H209" s="672" t="str">
        <f>L236</f>
        <v>2c</v>
      </c>
      <c r="I209" s="668" t="s">
        <v>123</v>
      </c>
      <c r="J209" s="664" t="s">
        <v>120</v>
      </c>
      <c r="K209" s="664" t="s">
        <v>753</v>
      </c>
      <c r="L209" s="664" t="s">
        <v>124</v>
      </c>
      <c r="M209" s="664" t="s">
        <v>20</v>
      </c>
      <c r="N209" s="653"/>
    </row>
    <row r="210" spans="2:18" ht="15.75" thickBot="1" x14ac:dyDescent="0.3">
      <c r="B210" s="364" t="s">
        <v>808</v>
      </c>
      <c r="D210" s="585">
        <v>1.35</v>
      </c>
      <c r="F210" s="665" t="str">
        <f>B210</f>
        <v>Cold Climate Air Source Heat Pumps</v>
      </c>
      <c r="G210" s="767">
        <f>H220</f>
        <v>600</v>
      </c>
      <c r="H210" s="673" t="str">
        <f>L246</f>
        <v>4b</v>
      </c>
      <c r="I210" s="669" t="s">
        <v>750</v>
      </c>
      <c r="J210" s="86" t="s">
        <v>751</v>
      </c>
      <c r="K210" s="86" t="s">
        <v>754</v>
      </c>
      <c r="L210" s="86" t="s">
        <v>755</v>
      </c>
      <c r="M210" s="86" t="s">
        <v>124</v>
      </c>
      <c r="N210" s="666" t="s">
        <v>20</v>
      </c>
    </row>
    <row r="211" spans="2:18" ht="15.75" thickBot="1" x14ac:dyDescent="0.3">
      <c r="B211" s="365" t="s">
        <v>1106</v>
      </c>
      <c r="F211" s="667" t="str">
        <f>B211</f>
        <v>Ductless Multi-Split Cold Climate Heat Pumps</v>
      </c>
      <c r="G211" s="768">
        <f>H220</f>
        <v>600</v>
      </c>
      <c r="H211" s="674" t="str">
        <f>L242</f>
        <v>3a</v>
      </c>
      <c r="I211" s="670" t="s">
        <v>123</v>
      </c>
      <c r="J211" s="654" t="s">
        <v>120</v>
      </c>
      <c r="K211" s="654" t="s">
        <v>753</v>
      </c>
      <c r="L211" s="654" t="s">
        <v>124</v>
      </c>
      <c r="M211" s="654" t="s">
        <v>20</v>
      </c>
      <c r="N211" s="655"/>
    </row>
    <row r="212" spans="2:18" ht="15.75" thickBot="1" x14ac:dyDescent="0.3">
      <c r="F212" s="765" t="s">
        <v>824</v>
      </c>
      <c r="G212" s="769">
        <v>500</v>
      </c>
    </row>
    <row r="213" spans="2:18" ht="15.75" thickBot="1" x14ac:dyDescent="0.3">
      <c r="B213" s="1282" t="s">
        <v>772</v>
      </c>
      <c r="C213" s="1446"/>
      <c r="D213" s="1446"/>
      <c r="E213" s="1283"/>
    </row>
    <row r="214" spans="2:18" ht="15.75" thickBot="1" x14ac:dyDescent="0.3">
      <c r="B214" s="367" t="s">
        <v>745</v>
      </c>
      <c r="C214" s="367" t="s">
        <v>1736</v>
      </c>
      <c r="D214" s="367" t="s">
        <v>1734</v>
      </c>
      <c r="E214" s="367" t="s">
        <v>1735</v>
      </c>
      <c r="G214" s="367" t="s">
        <v>1643</v>
      </c>
      <c r="H214" s="367" t="s">
        <v>1737</v>
      </c>
      <c r="I214" s="367" t="s">
        <v>1738</v>
      </c>
      <c r="J214" s="367" t="s">
        <v>1739</v>
      </c>
      <c r="K214" s="367" t="s">
        <v>1740</v>
      </c>
      <c r="N214" s="681" t="s">
        <v>263</v>
      </c>
      <c r="O214" s="367" t="s">
        <v>158</v>
      </c>
      <c r="P214" s="683" t="s">
        <v>316</v>
      </c>
      <c r="Q214" s="367" t="s">
        <v>315</v>
      </c>
      <c r="R214" s="682" t="s">
        <v>314</v>
      </c>
    </row>
    <row r="215" spans="2:18" x14ac:dyDescent="0.25">
      <c r="B215" s="366" t="s">
        <v>746</v>
      </c>
      <c r="C215" s="677"/>
      <c r="D215" s="677"/>
      <c r="E215" s="677"/>
      <c r="G215" s="366" t="s">
        <v>1734</v>
      </c>
      <c r="H215" s="366">
        <f>E235</f>
        <v>11.4</v>
      </c>
      <c r="I215" s="366">
        <f>E236</f>
        <v>13.4</v>
      </c>
      <c r="J215" s="366">
        <f>E237</f>
        <v>8.1999999999999993</v>
      </c>
      <c r="K215" s="366">
        <f>E238</f>
        <v>0.8</v>
      </c>
      <c r="N215" s="411" t="s">
        <v>1754</v>
      </c>
      <c r="O215" s="417" t="s">
        <v>871</v>
      </c>
      <c r="P215" s="684" t="s">
        <v>318</v>
      </c>
      <c r="Q215" s="417" t="s">
        <v>317</v>
      </c>
      <c r="R215" s="687" t="s">
        <v>1745</v>
      </c>
    </row>
    <row r="216" spans="2:18" x14ac:dyDescent="0.25">
      <c r="B216" s="364" t="s">
        <v>1732</v>
      </c>
      <c r="C216" s="675"/>
      <c r="D216" s="404">
        <f>E262</f>
        <v>0.82666666666666666</v>
      </c>
      <c r="E216" s="675"/>
      <c r="G216" s="364" t="s">
        <v>1735</v>
      </c>
      <c r="H216" s="364">
        <f>D235</f>
        <v>11.4</v>
      </c>
      <c r="I216" s="364">
        <f>D236</f>
        <v>13.4</v>
      </c>
      <c r="J216" s="675"/>
      <c r="K216" s="675"/>
      <c r="N216" s="412" t="s">
        <v>1755</v>
      </c>
      <c r="O216" s="364" t="s">
        <v>872</v>
      </c>
      <c r="P216" s="685" t="s">
        <v>318</v>
      </c>
      <c r="Q216" s="364" t="s">
        <v>317</v>
      </c>
      <c r="R216" s="688" t="s">
        <v>1746</v>
      </c>
    </row>
    <row r="217" spans="2:18" ht="15.75" thickBot="1" x14ac:dyDescent="0.3">
      <c r="B217" s="364" t="s">
        <v>748</v>
      </c>
      <c r="C217" s="675"/>
      <c r="D217" s="404">
        <f>E261</f>
        <v>0.85</v>
      </c>
      <c r="E217" s="364">
        <f>E261</f>
        <v>0.85</v>
      </c>
      <c r="G217" s="365" t="s">
        <v>1736</v>
      </c>
      <c r="H217" s="365">
        <f>C235</f>
        <v>11.4</v>
      </c>
      <c r="I217" s="365">
        <f>C236</f>
        <v>13.4</v>
      </c>
      <c r="J217" s="676"/>
      <c r="K217" s="676"/>
      <c r="N217" s="412" t="s">
        <v>1756</v>
      </c>
      <c r="O217" s="364" t="s">
        <v>873</v>
      </c>
      <c r="P217" s="685" t="s">
        <v>318</v>
      </c>
      <c r="Q217" s="364" t="s">
        <v>317</v>
      </c>
      <c r="R217" s="688" t="s">
        <v>1747</v>
      </c>
    </row>
    <row r="218" spans="2:18" ht="15.75" thickBot="1" x14ac:dyDescent="0.3">
      <c r="B218" s="364" t="s">
        <v>749</v>
      </c>
      <c r="C218" s="675"/>
      <c r="D218" s="404">
        <f>D216</f>
        <v>0.82666666666666666</v>
      </c>
      <c r="E218" s="675"/>
      <c r="N218" s="412" t="s">
        <v>1757</v>
      </c>
      <c r="O218" s="364" t="s">
        <v>1099</v>
      </c>
      <c r="P218" s="685" t="s">
        <v>318</v>
      </c>
      <c r="Q218" s="364" t="s">
        <v>317</v>
      </c>
      <c r="R218" s="688" t="s">
        <v>1748</v>
      </c>
    </row>
    <row r="219" spans="2:18" ht="15.75" thickBot="1" x14ac:dyDescent="0.3">
      <c r="B219" s="364" t="s">
        <v>124</v>
      </c>
      <c r="C219" s="675"/>
      <c r="D219" s="472">
        <f>D216</f>
        <v>0.82666666666666666</v>
      </c>
      <c r="E219" s="675"/>
      <c r="G219" s="1282" t="s">
        <v>1570</v>
      </c>
      <c r="H219" s="1283"/>
      <c r="N219" s="412" t="s">
        <v>1758</v>
      </c>
      <c r="O219" s="364" t="s">
        <v>1100</v>
      </c>
      <c r="P219" s="685" t="s">
        <v>318</v>
      </c>
      <c r="Q219" s="364" t="s">
        <v>317</v>
      </c>
      <c r="R219" s="688" t="s">
        <v>1749</v>
      </c>
    </row>
    <row r="220" spans="2:18" x14ac:dyDescent="0.25">
      <c r="B220" s="364" t="s">
        <v>20</v>
      </c>
      <c r="C220" s="364">
        <f>$C$261</f>
        <v>0.83</v>
      </c>
      <c r="D220" s="472">
        <f>D216</f>
        <v>0.82666666666666666</v>
      </c>
      <c r="E220" s="675"/>
      <c r="G220" s="364" t="s">
        <v>1764</v>
      </c>
      <c r="H220" s="364">
        <v>600</v>
      </c>
      <c r="N220" s="412" t="s">
        <v>1759</v>
      </c>
      <c r="O220" s="364" t="s">
        <v>1101</v>
      </c>
      <c r="P220" s="685" t="s">
        <v>318</v>
      </c>
      <c r="Q220" s="364" t="s">
        <v>317</v>
      </c>
      <c r="R220" s="688" t="s">
        <v>1750</v>
      </c>
    </row>
    <row r="221" spans="2:18" ht="15.75" thickBot="1" x14ac:dyDescent="0.3">
      <c r="B221" s="474" t="s">
        <v>868</v>
      </c>
      <c r="C221" s="474">
        <f>$C$261</f>
        <v>0.83</v>
      </c>
      <c r="D221" s="678"/>
      <c r="E221" s="678"/>
      <c r="G221" s="364" t="s">
        <v>1765</v>
      </c>
      <c r="H221" s="364">
        <v>750</v>
      </c>
      <c r="N221" s="412" t="s">
        <v>1761</v>
      </c>
      <c r="O221" s="364" t="s">
        <v>874</v>
      </c>
      <c r="P221" s="685" t="s">
        <v>318</v>
      </c>
      <c r="Q221" s="364" t="s">
        <v>317</v>
      </c>
      <c r="R221" s="688" t="s">
        <v>1751</v>
      </c>
    </row>
    <row r="222" spans="2:18" ht="15.75" thickBot="1" x14ac:dyDescent="0.3">
      <c r="G222" s="365" t="s">
        <v>1766</v>
      </c>
      <c r="H222" s="365">
        <v>900</v>
      </c>
      <c r="N222" s="412" t="s">
        <v>1762</v>
      </c>
      <c r="O222" s="364" t="s">
        <v>875</v>
      </c>
      <c r="P222" s="685" t="s">
        <v>318</v>
      </c>
      <c r="Q222" s="364" t="s">
        <v>317</v>
      </c>
      <c r="R222" s="688" t="s">
        <v>1752</v>
      </c>
    </row>
    <row r="223" spans="2:18" ht="15.75" thickBot="1" x14ac:dyDescent="0.3">
      <c r="N223" s="427" t="s">
        <v>1763</v>
      </c>
      <c r="O223" s="365" t="s">
        <v>876</v>
      </c>
      <c r="P223" s="686" t="s">
        <v>318</v>
      </c>
      <c r="Q223" s="365" t="s">
        <v>317</v>
      </c>
      <c r="R223" s="689" t="s">
        <v>1753</v>
      </c>
    </row>
    <row r="224" spans="2:18" x14ac:dyDescent="0.25">
      <c r="N224" s="411" t="s">
        <v>1047</v>
      </c>
      <c r="O224" s="417" t="s">
        <v>1079</v>
      </c>
      <c r="P224" s="684" t="s">
        <v>318</v>
      </c>
      <c r="Q224" s="417" t="s">
        <v>1842</v>
      </c>
      <c r="R224" s="687" t="s">
        <v>1843</v>
      </c>
    </row>
    <row r="225" spans="1:22" ht="24" thickBot="1" x14ac:dyDescent="0.4">
      <c r="A225" s="406" t="s">
        <v>1625</v>
      </c>
      <c r="N225" s="412" t="s">
        <v>1844</v>
      </c>
      <c r="O225" s="364" t="s">
        <v>1080</v>
      </c>
      <c r="P225" s="685" t="s">
        <v>318</v>
      </c>
      <c r="Q225" s="364" t="s">
        <v>1842</v>
      </c>
      <c r="R225" s="688" t="s">
        <v>1845</v>
      </c>
    </row>
    <row r="226" spans="1:22" x14ac:dyDescent="0.25">
      <c r="N226" s="412" t="s">
        <v>830</v>
      </c>
      <c r="O226" s="364" t="s">
        <v>1081</v>
      </c>
      <c r="P226" s="685" t="s">
        <v>318</v>
      </c>
      <c r="Q226" s="364" t="s">
        <v>1842</v>
      </c>
      <c r="R226" s="688" t="s">
        <v>1846</v>
      </c>
    </row>
    <row r="227" spans="1:22" ht="35.1" customHeight="1" thickBot="1" x14ac:dyDescent="0.3">
      <c r="N227" s="427" t="s">
        <v>835</v>
      </c>
      <c r="O227" s="365"/>
      <c r="P227" s="686"/>
      <c r="Q227" s="365"/>
      <c r="R227" s="689"/>
    </row>
    <row r="228" spans="1:22" ht="35.1" customHeight="1" thickBot="1" x14ac:dyDescent="0.3">
      <c r="T228" s="1284" t="s">
        <v>1717</v>
      </c>
      <c r="U228" s="1285"/>
      <c r="V228" s="1286"/>
    </row>
    <row r="229" spans="1:22" ht="15.75" thickBot="1" x14ac:dyDescent="0.3">
      <c r="B229" s="1298" t="s">
        <v>1503</v>
      </c>
      <c r="C229" s="1307" t="s">
        <v>1644</v>
      </c>
      <c r="D229" s="1307"/>
      <c r="E229" s="1307"/>
      <c r="F229" s="1308" t="s">
        <v>1645</v>
      </c>
      <c r="H229" s="616" t="s">
        <v>1687</v>
      </c>
      <c r="I229" s="616" t="s">
        <v>1688</v>
      </c>
      <c r="J229" s="616" t="s">
        <v>1689</v>
      </c>
      <c r="K229" s="616" t="s">
        <v>1690</v>
      </c>
      <c r="L229" s="616" t="s">
        <v>1048</v>
      </c>
      <c r="M229" s="616" t="s">
        <v>1050</v>
      </c>
      <c r="N229" s="616" t="s">
        <v>1051</v>
      </c>
      <c r="O229" s="617" t="s">
        <v>1052</v>
      </c>
      <c r="P229" s="617" t="s">
        <v>1053</v>
      </c>
      <c r="Q229" s="617" t="s">
        <v>1691</v>
      </c>
      <c r="R229" s="617" t="s">
        <v>1692</v>
      </c>
      <c r="T229" s="627" t="s">
        <v>797</v>
      </c>
      <c r="U229" s="628" t="s">
        <v>1718</v>
      </c>
      <c r="V229" s="629" t="s">
        <v>1719</v>
      </c>
    </row>
    <row r="230" spans="1:22" ht="15.75" thickBot="1" x14ac:dyDescent="0.3">
      <c r="B230" s="1299"/>
      <c r="C230" s="597" t="s">
        <v>868</v>
      </c>
      <c r="D230" s="597" t="s">
        <v>1646</v>
      </c>
      <c r="E230" s="597" t="s">
        <v>869</v>
      </c>
      <c r="F230" s="1309"/>
      <c r="H230" s="1296" t="s">
        <v>1693</v>
      </c>
      <c r="I230" s="1296" t="s">
        <v>1694</v>
      </c>
      <c r="J230" s="606" t="s">
        <v>1695</v>
      </c>
      <c r="K230" s="607">
        <v>0.9</v>
      </c>
      <c r="L230" s="607" t="s">
        <v>1696</v>
      </c>
      <c r="M230" s="608">
        <v>0.81699999999999995</v>
      </c>
      <c r="N230" s="609">
        <v>0.78100000000000003</v>
      </c>
      <c r="O230" s="610">
        <v>2.91</v>
      </c>
      <c r="P230" s="610">
        <v>0.78600000000000003</v>
      </c>
      <c r="Q230" s="611">
        <v>0.99</v>
      </c>
      <c r="R230" s="612">
        <v>1</v>
      </c>
      <c r="T230" s="624" t="s">
        <v>790</v>
      </c>
      <c r="U230" s="625">
        <v>1080</v>
      </c>
      <c r="V230" s="626">
        <v>751</v>
      </c>
    </row>
    <row r="231" spans="1:22" ht="56.25" customHeight="1" x14ac:dyDescent="0.25">
      <c r="B231" s="598" t="s">
        <v>1647</v>
      </c>
      <c r="C231" s="595" t="s">
        <v>1648</v>
      </c>
      <c r="D231" s="595" t="s">
        <v>1649</v>
      </c>
      <c r="E231" s="596" t="s">
        <v>1650</v>
      </c>
      <c r="F231" s="599" t="s">
        <v>1522</v>
      </c>
      <c r="H231" s="1296"/>
      <c r="I231" s="1296"/>
      <c r="J231" s="606" t="s">
        <v>1697</v>
      </c>
      <c r="K231" s="607">
        <v>0.9</v>
      </c>
      <c r="L231" s="607" t="s">
        <v>1698</v>
      </c>
      <c r="M231" s="608">
        <v>0.81699999999999995</v>
      </c>
      <c r="N231" s="609">
        <v>0.78100000000000003</v>
      </c>
      <c r="O231" s="610">
        <v>2.91</v>
      </c>
      <c r="P231" s="610">
        <v>0.78600000000000003</v>
      </c>
      <c r="Q231" s="611">
        <v>0.99</v>
      </c>
      <c r="R231" s="612">
        <v>1</v>
      </c>
      <c r="T231" s="619" t="s">
        <v>1016</v>
      </c>
      <c r="U231" s="618">
        <v>1186</v>
      </c>
      <c r="V231" s="620">
        <v>537</v>
      </c>
    </row>
    <row r="232" spans="1:22" ht="58.5" customHeight="1" x14ac:dyDescent="0.25">
      <c r="B232" s="600" t="s">
        <v>1651</v>
      </c>
      <c r="C232" s="587" t="s">
        <v>1652</v>
      </c>
      <c r="D232" s="587" t="s">
        <v>1653</v>
      </c>
      <c r="E232" s="586" t="s">
        <v>1654</v>
      </c>
      <c r="F232" s="601" t="s">
        <v>1522</v>
      </c>
      <c r="H232" s="1296"/>
      <c r="I232" s="1296"/>
      <c r="J232" s="606" t="s">
        <v>1699</v>
      </c>
      <c r="K232" s="607">
        <v>0.9</v>
      </c>
      <c r="L232" s="607" t="s">
        <v>1700</v>
      </c>
      <c r="M232" s="608">
        <v>0.81699999999999995</v>
      </c>
      <c r="N232" s="609">
        <v>0.78100000000000003</v>
      </c>
      <c r="O232" s="610">
        <v>2.91</v>
      </c>
      <c r="P232" s="610">
        <v>0.78600000000000003</v>
      </c>
      <c r="Q232" s="611">
        <v>0.99</v>
      </c>
      <c r="R232" s="612">
        <v>1</v>
      </c>
      <c r="T232" s="619" t="s">
        <v>1017</v>
      </c>
      <c r="U232" s="618">
        <v>705</v>
      </c>
      <c r="V232" s="620">
        <v>779</v>
      </c>
    </row>
    <row r="233" spans="1:22" ht="35.1" customHeight="1" x14ac:dyDescent="0.25">
      <c r="B233" s="600" t="s">
        <v>1655</v>
      </c>
      <c r="C233" s="1310" t="s">
        <v>1656</v>
      </c>
      <c r="D233" s="1310"/>
      <c r="E233" s="1310"/>
      <c r="F233" s="601" t="s">
        <v>1584</v>
      </c>
      <c r="H233" s="1296"/>
      <c r="I233" s="1296"/>
      <c r="J233" s="606" t="s">
        <v>1695</v>
      </c>
      <c r="K233" s="607">
        <v>1</v>
      </c>
      <c r="L233" s="607" t="s">
        <v>1701</v>
      </c>
      <c r="M233" s="608">
        <v>0.876</v>
      </c>
      <c r="N233" s="608">
        <v>0.76</v>
      </c>
      <c r="O233" s="610">
        <v>1.52</v>
      </c>
      <c r="P233" s="610">
        <v>0.85899999999999999</v>
      </c>
      <c r="Q233" s="611">
        <v>1</v>
      </c>
      <c r="R233" s="612">
        <v>1</v>
      </c>
      <c r="T233" s="619" t="s">
        <v>1019</v>
      </c>
      <c r="U233" s="618">
        <v>788</v>
      </c>
      <c r="V233" s="620">
        <v>1236</v>
      </c>
    </row>
    <row r="234" spans="1:22" ht="35.1" customHeight="1" x14ac:dyDescent="0.25">
      <c r="B234" s="600" t="s">
        <v>1657</v>
      </c>
      <c r="C234" s="1310" t="s">
        <v>1656</v>
      </c>
      <c r="D234" s="1310"/>
      <c r="E234" s="1310"/>
      <c r="F234" s="601" t="s">
        <v>1584</v>
      </c>
      <c r="H234" s="1296" t="s">
        <v>1702</v>
      </c>
      <c r="I234" s="1296" t="s">
        <v>1703</v>
      </c>
      <c r="J234" s="1296" t="s">
        <v>1704</v>
      </c>
      <c r="K234" s="607">
        <v>0.3</v>
      </c>
      <c r="L234" s="607" t="s">
        <v>1441</v>
      </c>
      <c r="M234" s="608">
        <v>2.6309999999999998</v>
      </c>
      <c r="N234" s="608">
        <v>0.255</v>
      </c>
      <c r="O234" s="610">
        <v>11.07</v>
      </c>
      <c r="P234" s="610">
        <v>0.16500000000000001</v>
      </c>
      <c r="Q234" s="611">
        <v>0.24</v>
      </c>
      <c r="R234" s="612">
        <v>0.91</v>
      </c>
      <c r="T234" s="619" t="s">
        <v>1020</v>
      </c>
      <c r="U234" s="618">
        <v>788</v>
      </c>
      <c r="V234" s="620">
        <v>1236</v>
      </c>
    </row>
    <row r="235" spans="1:22" ht="35.1" customHeight="1" x14ac:dyDescent="0.25">
      <c r="B235" s="600" t="s">
        <v>1658</v>
      </c>
      <c r="C235" s="589">
        <v>11.4</v>
      </c>
      <c r="D235" s="589">
        <v>11.4</v>
      </c>
      <c r="E235" s="590">
        <v>11.4</v>
      </c>
      <c r="F235" s="601" t="s">
        <v>1522</v>
      </c>
      <c r="H235" s="1296"/>
      <c r="I235" s="1296"/>
      <c r="J235" s="1296"/>
      <c r="K235" s="607">
        <v>0.5</v>
      </c>
      <c r="L235" s="607" t="s">
        <v>1442</v>
      </c>
      <c r="M235" s="608">
        <v>2.4009999999999998</v>
      </c>
      <c r="N235" s="608">
        <v>0.32900000000000001</v>
      </c>
      <c r="O235" s="610">
        <v>10.08</v>
      </c>
      <c r="P235" s="610">
        <v>0.27700000000000002</v>
      </c>
      <c r="Q235" s="611">
        <v>0.39</v>
      </c>
      <c r="R235" s="612">
        <v>0.99</v>
      </c>
      <c r="T235" s="619" t="s">
        <v>1120</v>
      </c>
      <c r="U235" s="618">
        <v>622</v>
      </c>
      <c r="V235" s="620">
        <v>1055</v>
      </c>
    </row>
    <row r="236" spans="1:22" ht="35.1" customHeight="1" x14ac:dyDescent="0.25">
      <c r="B236" s="600" t="s">
        <v>1659</v>
      </c>
      <c r="C236" s="589">
        <v>13.4</v>
      </c>
      <c r="D236" s="589">
        <v>13.4</v>
      </c>
      <c r="E236" s="590">
        <v>13.4</v>
      </c>
      <c r="F236" s="601" t="s">
        <v>1522</v>
      </c>
      <c r="H236" s="1296"/>
      <c r="I236" s="1296"/>
      <c r="J236" s="1296"/>
      <c r="K236" s="640">
        <v>0.7</v>
      </c>
      <c r="L236" s="640" t="s">
        <v>1443</v>
      </c>
      <c r="M236" s="643">
        <v>2.3660000000000001</v>
      </c>
      <c r="N236" s="643">
        <v>0.34200000000000003</v>
      </c>
      <c r="O236" s="644">
        <v>9.44</v>
      </c>
      <c r="P236" s="644">
        <v>0.32300000000000001</v>
      </c>
      <c r="Q236" s="645">
        <v>0.54</v>
      </c>
      <c r="R236" s="646">
        <v>1</v>
      </c>
      <c r="T236" s="619" t="s">
        <v>1026</v>
      </c>
      <c r="U236" s="618">
        <v>230</v>
      </c>
      <c r="V236" s="620">
        <v>876</v>
      </c>
    </row>
    <row r="237" spans="1:22" ht="35.1" customHeight="1" x14ac:dyDescent="0.25">
      <c r="B237" s="600" t="s">
        <v>1660</v>
      </c>
      <c r="C237" s="588" t="s">
        <v>18</v>
      </c>
      <c r="D237" s="588" t="s">
        <v>18</v>
      </c>
      <c r="E237" s="590">
        <v>8.1999999999999993</v>
      </c>
      <c r="F237" s="601" t="s">
        <v>1522</v>
      </c>
      <c r="H237" s="1296"/>
      <c r="I237" s="1296"/>
      <c r="J237" s="1296" t="s">
        <v>1705</v>
      </c>
      <c r="K237" s="607">
        <v>0.3</v>
      </c>
      <c r="L237" s="607" t="s">
        <v>1706</v>
      </c>
      <c r="M237" s="608">
        <v>3.0019999999999998</v>
      </c>
      <c r="N237" s="608">
        <v>0.105</v>
      </c>
      <c r="O237" s="610">
        <v>11.07</v>
      </c>
      <c r="P237" s="610">
        <v>0.16500000000000001</v>
      </c>
      <c r="Q237" s="611">
        <v>0.54</v>
      </c>
      <c r="R237" s="612">
        <v>0.91</v>
      </c>
      <c r="T237" s="619" t="s">
        <v>1027</v>
      </c>
      <c r="U237" s="618">
        <v>2141</v>
      </c>
      <c r="V237" s="620">
        <v>916</v>
      </c>
    </row>
    <row r="238" spans="1:22" ht="35.1" customHeight="1" x14ac:dyDescent="0.25">
      <c r="B238" s="600" t="s">
        <v>1661</v>
      </c>
      <c r="C238" s="588" t="s">
        <v>18</v>
      </c>
      <c r="D238" s="588" t="s">
        <v>18</v>
      </c>
      <c r="E238" s="589">
        <v>0.8</v>
      </c>
      <c r="F238" s="601" t="s">
        <v>1522</v>
      </c>
      <c r="H238" s="1296"/>
      <c r="I238" s="1296"/>
      <c r="J238" s="1296"/>
      <c r="K238" s="607">
        <v>0.5</v>
      </c>
      <c r="L238" s="607" t="s">
        <v>1707</v>
      </c>
      <c r="M238" s="608">
        <v>2.9460000000000002</v>
      </c>
      <c r="N238" s="608">
        <v>0.122</v>
      </c>
      <c r="O238" s="610">
        <v>10.08</v>
      </c>
      <c r="P238" s="610">
        <v>0.27700000000000002</v>
      </c>
      <c r="Q238" s="611">
        <v>0.72</v>
      </c>
      <c r="R238" s="612">
        <v>0.99</v>
      </c>
      <c r="T238" s="619" t="s">
        <v>1028</v>
      </c>
      <c r="U238" s="618">
        <v>632</v>
      </c>
      <c r="V238" s="620">
        <v>558</v>
      </c>
    </row>
    <row r="239" spans="1:22" ht="35.1" customHeight="1" x14ac:dyDescent="0.25">
      <c r="B239" s="600" t="s">
        <v>1662</v>
      </c>
      <c r="C239" s="591" t="s">
        <v>1512</v>
      </c>
      <c r="D239" s="591" t="s">
        <v>1512</v>
      </c>
      <c r="E239" s="591" t="s">
        <v>1512</v>
      </c>
      <c r="F239" s="602" t="s">
        <v>1584</v>
      </c>
      <c r="H239" s="1296"/>
      <c r="I239" s="1296"/>
      <c r="J239" s="1296"/>
      <c r="K239" s="607">
        <v>0.7</v>
      </c>
      <c r="L239" s="607" t="s">
        <v>1708</v>
      </c>
      <c r="M239" s="608">
        <v>2.8879999999999999</v>
      </c>
      <c r="N239" s="608">
        <v>0.14099999999999999</v>
      </c>
      <c r="O239" s="610">
        <v>9.44</v>
      </c>
      <c r="P239" s="610">
        <v>0.32300000000000001</v>
      </c>
      <c r="Q239" s="611">
        <v>0.84</v>
      </c>
      <c r="R239" s="612">
        <v>1</v>
      </c>
      <c r="T239" s="619" t="s">
        <v>1538</v>
      </c>
      <c r="U239" s="618">
        <v>451</v>
      </c>
      <c r="V239" s="620">
        <v>899</v>
      </c>
    </row>
    <row r="240" spans="1:22" ht="35.1" customHeight="1" x14ac:dyDescent="0.25">
      <c r="B240" s="600" t="s">
        <v>1663</v>
      </c>
      <c r="C240" s="591" t="s">
        <v>1512</v>
      </c>
      <c r="D240" s="591" t="s">
        <v>1512</v>
      </c>
      <c r="E240" s="591" t="s">
        <v>1512</v>
      </c>
      <c r="F240" s="602" t="s">
        <v>1584</v>
      </c>
      <c r="H240" s="1296"/>
      <c r="I240" s="1296" t="s">
        <v>1694</v>
      </c>
      <c r="J240" s="1296" t="s">
        <v>1695</v>
      </c>
      <c r="K240" s="607">
        <v>0.9</v>
      </c>
      <c r="L240" s="607" t="s">
        <v>1709</v>
      </c>
      <c r="M240" s="608">
        <v>2.8359999999999999</v>
      </c>
      <c r="N240" s="608">
        <v>0.13400000000000001</v>
      </c>
      <c r="O240" s="610">
        <v>8.67</v>
      </c>
      <c r="P240" s="610">
        <v>0.35299999999999998</v>
      </c>
      <c r="Q240" s="611">
        <v>0.97</v>
      </c>
      <c r="R240" s="612">
        <v>1</v>
      </c>
      <c r="T240" s="619" t="s">
        <v>1029</v>
      </c>
      <c r="U240" s="618">
        <v>1186</v>
      </c>
      <c r="V240" s="620">
        <v>537</v>
      </c>
    </row>
    <row r="241" spans="2:22" ht="35.1" customHeight="1" x14ac:dyDescent="0.25">
      <c r="B241" s="600" t="s">
        <v>1664</v>
      </c>
      <c r="C241" s="591" t="s">
        <v>1512</v>
      </c>
      <c r="D241" s="591" t="s">
        <v>1512</v>
      </c>
      <c r="E241" s="591" t="s">
        <v>1512</v>
      </c>
      <c r="F241" s="602" t="s">
        <v>1584</v>
      </c>
      <c r="H241" s="1296"/>
      <c r="I241" s="1296"/>
      <c r="J241" s="1296"/>
      <c r="K241" s="607">
        <v>1</v>
      </c>
      <c r="L241" s="607" t="s">
        <v>1710</v>
      </c>
      <c r="M241" s="608">
        <v>2.8140000000000001</v>
      </c>
      <c r="N241" s="608">
        <v>0.14599999999999999</v>
      </c>
      <c r="O241" s="610">
        <v>8.51</v>
      </c>
      <c r="P241" s="610">
        <v>0.36099999999999999</v>
      </c>
      <c r="Q241" s="611">
        <v>0.98</v>
      </c>
      <c r="R241" s="612">
        <v>1</v>
      </c>
      <c r="T241" s="619" t="s">
        <v>1030</v>
      </c>
      <c r="U241" s="618">
        <v>705</v>
      </c>
      <c r="V241" s="620">
        <v>779</v>
      </c>
    </row>
    <row r="242" spans="2:22" ht="35.1" customHeight="1" x14ac:dyDescent="0.25">
      <c r="B242" s="603" t="s">
        <v>1523</v>
      </c>
      <c r="C242" s="1311">
        <v>0.45</v>
      </c>
      <c r="D242" s="1311"/>
      <c r="E242" s="1311"/>
      <c r="F242" s="1312" t="s">
        <v>1524</v>
      </c>
      <c r="H242" s="1296" t="s">
        <v>1711</v>
      </c>
      <c r="I242" s="606" t="s">
        <v>1703</v>
      </c>
      <c r="J242" s="606" t="s">
        <v>1704</v>
      </c>
      <c r="K242" s="641">
        <v>0.7</v>
      </c>
      <c r="L242" s="641" t="s">
        <v>1444</v>
      </c>
      <c r="M242" s="647">
        <v>-3.593</v>
      </c>
      <c r="N242" s="643">
        <v>2.1779999999999999</v>
      </c>
      <c r="O242" s="644">
        <v>11.6</v>
      </c>
      <c r="P242" s="644">
        <v>0.19600000000000001</v>
      </c>
      <c r="Q242" s="645">
        <v>0.7</v>
      </c>
      <c r="R242" s="646">
        <v>1</v>
      </c>
      <c r="T242" s="619" t="s">
        <v>1032</v>
      </c>
      <c r="U242" s="618">
        <v>230</v>
      </c>
      <c r="V242" s="620">
        <v>876</v>
      </c>
    </row>
    <row r="243" spans="2:22" ht="35.1" customHeight="1" thickBot="1" x14ac:dyDescent="0.3">
      <c r="B243" s="603" t="s">
        <v>1525</v>
      </c>
      <c r="C243" s="1311">
        <v>0.63</v>
      </c>
      <c r="D243" s="1311"/>
      <c r="E243" s="1311"/>
      <c r="F243" s="1312"/>
      <c r="H243" s="1296"/>
      <c r="I243" s="1296" t="s">
        <v>1694</v>
      </c>
      <c r="J243" s="1296" t="s">
        <v>1695</v>
      </c>
      <c r="K243" s="613">
        <v>0.9</v>
      </c>
      <c r="L243" s="613" t="s">
        <v>1712</v>
      </c>
      <c r="M243" s="614">
        <v>-2.9140000000000001</v>
      </c>
      <c r="N243" s="608">
        <v>1.913</v>
      </c>
      <c r="O243" s="610">
        <v>16.95</v>
      </c>
      <c r="P243" s="610">
        <v>-0.122</v>
      </c>
      <c r="Q243" s="611">
        <v>0.95</v>
      </c>
      <c r="R243" s="612">
        <v>1</v>
      </c>
      <c r="T243" s="621" t="s">
        <v>124</v>
      </c>
      <c r="U243" s="622">
        <v>705</v>
      </c>
      <c r="V243" s="623">
        <v>779</v>
      </c>
    </row>
    <row r="244" spans="2:22" ht="35.1" customHeight="1" x14ac:dyDescent="0.25">
      <c r="B244" s="603" t="s">
        <v>1526</v>
      </c>
      <c r="C244" s="1311">
        <v>0.56999999999999995</v>
      </c>
      <c r="D244" s="1311"/>
      <c r="E244" s="1311"/>
      <c r="F244" s="1312"/>
      <c r="H244" s="1296"/>
      <c r="I244" s="1296"/>
      <c r="J244" s="1296"/>
      <c r="K244" s="613">
        <v>1</v>
      </c>
      <c r="L244" s="613" t="s">
        <v>1713</v>
      </c>
      <c r="M244" s="614">
        <v>-3.0939999999999999</v>
      </c>
      <c r="N244" s="608">
        <v>1.966</v>
      </c>
      <c r="O244" s="610">
        <v>18.850000000000001</v>
      </c>
      <c r="P244" s="610">
        <v>-0.246</v>
      </c>
      <c r="Q244" s="611">
        <v>0.97</v>
      </c>
      <c r="R244" s="612">
        <v>1</v>
      </c>
    </row>
    <row r="245" spans="2:22" ht="35.1" customHeight="1" x14ac:dyDescent="0.25">
      <c r="B245" s="600" t="s">
        <v>1665</v>
      </c>
      <c r="C245" s="1300" t="s">
        <v>1666</v>
      </c>
      <c r="D245" s="1300"/>
      <c r="E245" s="1300"/>
      <c r="F245" s="604" t="s">
        <v>1528</v>
      </c>
      <c r="H245" s="1296" t="s">
        <v>1714</v>
      </c>
      <c r="I245" s="1296" t="s">
        <v>1703</v>
      </c>
      <c r="J245" s="1296" t="s">
        <v>1704</v>
      </c>
      <c r="K245" s="607">
        <v>0.5</v>
      </c>
      <c r="L245" s="607" t="s">
        <v>1439</v>
      </c>
      <c r="M245" s="608">
        <v>0.28199999999999997</v>
      </c>
      <c r="N245" s="608">
        <v>1.07</v>
      </c>
      <c r="O245" s="610">
        <v>-9.59</v>
      </c>
      <c r="P245" s="610">
        <v>1.29</v>
      </c>
      <c r="Q245" s="611">
        <v>0.43</v>
      </c>
      <c r="R245" s="612">
        <v>0.98</v>
      </c>
    </row>
    <row r="246" spans="2:22" ht="35.1" customHeight="1" x14ac:dyDescent="0.25">
      <c r="B246" s="600" t="s">
        <v>1667</v>
      </c>
      <c r="C246" s="1300" t="s">
        <v>1666</v>
      </c>
      <c r="D246" s="1300"/>
      <c r="E246" s="1300"/>
      <c r="F246" s="604" t="s">
        <v>1528</v>
      </c>
      <c r="H246" s="1296"/>
      <c r="I246" s="1296"/>
      <c r="J246" s="1296"/>
      <c r="K246" s="640">
        <v>0.7</v>
      </c>
      <c r="L246" s="640" t="s">
        <v>1440</v>
      </c>
      <c r="M246" s="643">
        <v>0.316</v>
      </c>
      <c r="N246" s="643">
        <v>1.0409999999999999</v>
      </c>
      <c r="O246" s="644">
        <v>-11.85</v>
      </c>
      <c r="P246" s="644">
        <v>1.4239999999999999</v>
      </c>
      <c r="Q246" s="645">
        <v>0.55000000000000004</v>
      </c>
      <c r="R246" s="646">
        <v>1</v>
      </c>
    </row>
    <row r="247" spans="2:22" ht="35.1" customHeight="1" x14ac:dyDescent="0.25">
      <c r="B247" s="605" t="s">
        <v>1668</v>
      </c>
      <c r="C247" s="1297" t="s">
        <v>1669</v>
      </c>
      <c r="D247" s="1297"/>
      <c r="E247" s="1297"/>
      <c r="F247" s="601" t="s">
        <v>1522</v>
      </c>
      <c r="H247" s="1296"/>
      <c r="I247" s="1296" t="s">
        <v>1694</v>
      </c>
      <c r="J247" s="1296" t="s">
        <v>1695</v>
      </c>
      <c r="K247" s="642">
        <v>0.9</v>
      </c>
      <c r="L247" s="607" t="s">
        <v>1715</v>
      </c>
      <c r="M247" s="615">
        <v>0.432</v>
      </c>
      <c r="N247" s="608">
        <v>0.92400000000000004</v>
      </c>
      <c r="O247" s="610">
        <v>-14.29</v>
      </c>
      <c r="P247" s="610">
        <v>1.5629999999999999</v>
      </c>
      <c r="Q247" s="611">
        <v>0.96</v>
      </c>
      <c r="R247" s="612">
        <v>1</v>
      </c>
    </row>
    <row r="248" spans="2:22" ht="35.1" customHeight="1" x14ac:dyDescent="0.25">
      <c r="B248" s="605" t="s">
        <v>1670</v>
      </c>
      <c r="C248" s="1297" t="s">
        <v>1669</v>
      </c>
      <c r="D248" s="1297"/>
      <c r="E248" s="1297"/>
      <c r="F248" s="601" t="s">
        <v>1522</v>
      </c>
      <c r="H248" s="1296"/>
      <c r="I248" s="1296"/>
      <c r="J248" s="1296"/>
      <c r="K248" s="642">
        <v>1</v>
      </c>
      <c r="L248" s="607" t="s">
        <v>1716</v>
      </c>
      <c r="M248" s="615">
        <v>0.36899999999999999</v>
      </c>
      <c r="N248" s="608">
        <v>0.94</v>
      </c>
      <c r="O248" s="610">
        <v>-15.14</v>
      </c>
      <c r="P248" s="610">
        <v>1.609</v>
      </c>
      <c r="Q248" s="611">
        <v>0.98</v>
      </c>
      <c r="R248" s="612">
        <v>1</v>
      </c>
    </row>
    <row r="249" spans="2:22" ht="35.1" customHeight="1" thickBot="1" x14ac:dyDescent="0.3">
      <c r="B249" s="605" t="s">
        <v>1671</v>
      </c>
      <c r="C249" s="1297" t="s">
        <v>1669</v>
      </c>
      <c r="D249" s="1297"/>
      <c r="E249" s="1297"/>
      <c r="F249" s="601" t="s">
        <v>1522</v>
      </c>
    </row>
    <row r="250" spans="2:22" ht="35.1" customHeight="1" x14ac:dyDescent="0.25">
      <c r="B250" s="605" t="s">
        <v>1672</v>
      </c>
      <c r="C250" s="1297" t="s">
        <v>1669</v>
      </c>
      <c r="D250" s="1297"/>
      <c r="E250" s="1297"/>
      <c r="F250" s="601" t="s">
        <v>1522</v>
      </c>
      <c r="H250" s="1287" t="s">
        <v>1720</v>
      </c>
      <c r="I250" s="1288"/>
      <c r="J250" s="1288"/>
      <c r="K250" s="1289"/>
    </row>
    <row r="251" spans="2:22" ht="35.1" customHeight="1" thickBot="1" x14ac:dyDescent="0.3">
      <c r="B251" s="605" t="s">
        <v>1673</v>
      </c>
      <c r="C251" s="1301" t="s">
        <v>1674</v>
      </c>
      <c r="D251" s="1301"/>
      <c r="E251" s="1301"/>
      <c r="F251" s="601" t="s">
        <v>1675</v>
      </c>
      <c r="H251" s="637" t="s">
        <v>1721</v>
      </c>
      <c r="I251" s="638" t="s">
        <v>1722</v>
      </c>
      <c r="J251" s="638" t="s">
        <v>832</v>
      </c>
      <c r="K251" s="639" t="s">
        <v>1723</v>
      </c>
    </row>
    <row r="252" spans="2:22" ht="35.1" customHeight="1" x14ac:dyDescent="0.25">
      <c r="B252" s="605" t="s">
        <v>1676</v>
      </c>
      <c r="C252" s="1297" t="s">
        <v>1677</v>
      </c>
      <c r="D252" s="1297"/>
      <c r="E252" s="1297"/>
      <c r="F252" s="601" t="s">
        <v>1522</v>
      </c>
      <c r="H252" s="1290" t="s">
        <v>1724</v>
      </c>
      <c r="I252" s="635">
        <v>0.9</v>
      </c>
      <c r="J252" s="635">
        <v>1</v>
      </c>
      <c r="K252" s="636">
        <v>0.94</v>
      </c>
    </row>
    <row r="253" spans="2:22" ht="35.1" customHeight="1" x14ac:dyDescent="0.25">
      <c r="B253" s="605" t="s">
        <v>1678</v>
      </c>
      <c r="C253" s="1297" t="s">
        <v>1677</v>
      </c>
      <c r="D253" s="1297"/>
      <c r="E253" s="1297"/>
      <c r="F253" s="601" t="s">
        <v>1522</v>
      </c>
      <c r="H253" s="1291"/>
      <c r="I253" s="630">
        <v>1</v>
      </c>
      <c r="J253" s="630">
        <v>1</v>
      </c>
      <c r="K253" s="631">
        <v>0.93</v>
      </c>
    </row>
    <row r="254" spans="2:22" ht="35.1" customHeight="1" x14ac:dyDescent="0.25">
      <c r="B254" s="605" t="s">
        <v>1679</v>
      </c>
      <c r="C254" s="1293" t="s">
        <v>1680</v>
      </c>
      <c r="D254" s="1294"/>
      <c r="E254" s="1295"/>
      <c r="F254" s="601" t="s">
        <v>1522</v>
      </c>
      <c r="H254" s="1291" t="s">
        <v>1725</v>
      </c>
      <c r="I254" s="630">
        <v>0.9</v>
      </c>
      <c r="J254" s="630">
        <v>1.03</v>
      </c>
      <c r="K254" s="631">
        <v>0.96</v>
      </c>
    </row>
    <row r="255" spans="2:22" ht="30" x14ac:dyDescent="0.25">
      <c r="B255" s="605" t="s">
        <v>1681</v>
      </c>
      <c r="C255" s="592" t="s">
        <v>18</v>
      </c>
      <c r="D255" s="592" t="s">
        <v>18</v>
      </c>
      <c r="E255" s="593">
        <v>0.8</v>
      </c>
      <c r="F255" s="601" t="s">
        <v>1522</v>
      </c>
      <c r="H255" s="1291"/>
      <c r="I255" s="630">
        <v>1</v>
      </c>
      <c r="J255" s="630">
        <v>1.02</v>
      </c>
      <c r="K255" s="631">
        <v>0.96</v>
      </c>
    </row>
    <row r="256" spans="2:22" ht="30" x14ac:dyDescent="0.25">
      <c r="B256" s="605" t="s">
        <v>1682</v>
      </c>
      <c r="C256" s="592" t="s">
        <v>18</v>
      </c>
      <c r="D256" s="592" t="s">
        <v>18</v>
      </c>
      <c r="E256" s="648">
        <v>0.84</v>
      </c>
      <c r="F256" s="601" t="s">
        <v>1522</v>
      </c>
      <c r="H256" s="1291" t="s">
        <v>1726</v>
      </c>
      <c r="I256" s="630">
        <v>0.9</v>
      </c>
      <c r="J256" s="630">
        <v>1.05</v>
      </c>
      <c r="K256" s="631">
        <v>0.93</v>
      </c>
    </row>
    <row r="257" spans="1:11" ht="30" x14ac:dyDescent="0.25">
      <c r="B257" s="605" t="s">
        <v>1683</v>
      </c>
      <c r="C257" s="592" t="s">
        <v>18</v>
      </c>
      <c r="D257" s="592" t="s">
        <v>18</v>
      </c>
      <c r="E257" s="648">
        <v>0.84</v>
      </c>
      <c r="F257" s="601" t="s">
        <v>1522</v>
      </c>
      <c r="H257" s="1291"/>
      <c r="I257" s="630">
        <v>1</v>
      </c>
      <c r="J257" s="630">
        <v>1.04</v>
      </c>
      <c r="K257" s="631">
        <v>0.95</v>
      </c>
    </row>
    <row r="258" spans="1:11" ht="30" x14ac:dyDescent="0.25">
      <c r="B258" s="605" t="s">
        <v>1684</v>
      </c>
      <c r="C258" s="594" t="s">
        <v>18</v>
      </c>
      <c r="D258" s="648">
        <v>0.86</v>
      </c>
      <c r="E258" s="648">
        <v>0.86</v>
      </c>
      <c r="F258" s="601" t="s">
        <v>1522</v>
      </c>
      <c r="H258" s="1291" t="s">
        <v>1727</v>
      </c>
      <c r="I258" s="630">
        <v>0.9</v>
      </c>
      <c r="J258" s="630">
        <v>1.04</v>
      </c>
      <c r="K258" s="631">
        <v>0.99</v>
      </c>
    </row>
    <row r="259" spans="1:11" ht="30.75" thickBot="1" x14ac:dyDescent="0.3">
      <c r="B259" s="605" t="s">
        <v>1685</v>
      </c>
      <c r="C259" s="592" t="s">
        <v>18</v>
      </c>
      <c r="D259" s="648">
        <v>0.86</v>
      </c>
      <c r="E259" s="648">
        <v>0.86</v>
      </c>
      <c r="F259" s="601" t="s">
        <v>1522</v>
      </c>
      <c r="H259" s="1292"/>
      <c r="I259" s="632">
        <v>1</v>
      </c>
      <c r="J259" s="633">
        <v>1.02</v>
      </c>
      <c r="K259" s="634">
        <v>0.94</v>
      </c>
    </row>
    <row r="260" spans="1:11" ht="30.75" thickBot="1" x14ac:dyDescent="0.3">
      <c r="B260" s="649" t="s">
        <v>1686</v>
      </c>
      <c r="C260" s="650">
        <v>0.83</v>
      </c>
      <c r="D260" s="651">
        <v>0.83</v>
      </c>
      <c r="E260" s="651">
        <v>0.83</v>
      </c>
      <c r="F260" s="652" t="s">
        <v>1522</v>
      </c>
    </row>
    <row r="261" spans="1:11" x14ac:dyDescent="0.25">
      <c r="B261" s="656" t="s">
        <v>1728</v>
      </c>
      <c r="C261" s="657">
        <f>C260</f>
        <v>0.83</v>
      </c>
      <c r="D261" s="657">
        <f>AVERAGE(D258:D260)</f>
        <v>0.85</v>
      </c>
      <c r="E261" s="657">
        <f>AVERAGE(E258:E260)</f>
        <v>0.85</v>
      </c>
      <c r="F261" s="658" t="s">
        <v>1730</v>
      </c>
    </row>
    <row r="262" spans="1:11" ht="15.75" thickBot="1" x14ac:dyDescent="0.3">
      <c r="B262" s="659" t="s">
        <v>1729</v>
      </c>
      <c r="C262" s="660" t="s">
        <v>18</v>
      </c>
      <c r="D262" s="660" t="s">
        <v>18</v>
      </c>
      <c r="E262" s="661">
        <f>AVERAGE(E255:E257)</f>
        <v>0.82666666666666666</v>
      </c>
      <c r="F262" s="662" t="s">
        <v>1731</v>
      </c>
    </row>
    <row r="265" spans="1:11" s="744" customFormat="1" x14ac:dyDescent="0.25"/>
    <row r="266" spans="1:11" ht="27" thickBot="1" x14ac:dyDescent="0.45">
      <c r="A266" s="1277" t="s">
        <v>1194</v>
      </c>
      <c r="B266" s="1277"/>
    </row>
    <row r="267" spans="1:11" ht="27" thickBot="1" x14ac:dyDescent="0.45">
      <c r="A267" s="794"/>
      <c r="B267" s="794"/>
    </row>
    <row r="268" spans="1:11" ht="27" thickBot="1" x14ac:dyDescent="0.45">
      <c r="A268" s="794"/>
      <c r="B268" s="717" t="s">
        <v>1847</v>
      </c>
      <c r="C268" s="717" t="s">
        <v>267</v>
      </c>
      <c r="D268" s="717" t="s">
        <v>1570</v>
      </c>
      <c r="E268" s="717" t="s">
        <v>1903</v>
      </c>
      <c r="F268" s="717" t="s">
        <v>1848</v>
      </c>
    </row>
    <row r="269" spans="1:11" ht="26.25" x14ac:dyDescent="0.4">
      <c r="A269" s="796"/>
      <c r="B269" s="797" t="s">
        <v>1156</v>
      </c>
      <c r="C269" s="797" t="s">
        <v>1229</v>
      </c>
      <c r="D269" s="797">
        <v>70</v>
      </c>
      <c r="E269" s="797">
        <v>90</v>
      </c>
      <c r="F269" s="795" t="str">
        <f>"$"&amp;IF($K$12="Yes",E269,D269)&amp;"/100CFM"</f>
        <v>$70/100CFM</v>
      </c>
    </row>
    <row r="270" spans="1:11" ht="26.25" x14ac:dyDescent="0.4">
      <c r="A270" s="796"/>
      <c r="B270" s="798" t="s">
        <v>1178</v>
      </c>
      <c r="C270" s="798" t="s">
        <v>1230</v>
      </c>
      <c r="D270" s="798">
        <v>60</v>
      </c>
      <c r="E270" s="798">
        <v>75</v>
      </c>
      <c r="F270" s="718" t="str">
        <f>"$"&amp;IF($K$12="Yes",E270,D270)&amp;"/100CFM"</f>
        <v>$60/100CFM</v>
      </c>
    </row>
    <row r="271" spans="1:11" ht="26.25" x14ac:dyDescent="0.4">
      <c r="A271" s="796"/>
      <c r="B271" s="912" t="s">
        <v>1811</v>
      </c>
      <c r="C271" s="912" t="s">
        <v>1231</v>
      </c>
      <c r="D271" s="912">
        <v>50</v>
      </c>
      <c r="E271" s="912">
        <v>65</v>
      </c>
      <c r="F271" s="913" t="str">
        <f>"$"&amp;IF($K$12="Yes",E271,D271)&amp;"/Ft. Diameter"</f>
        <v>$50/Ft. Diameter</v>
      </c>
    </row>
    <row r="272" spans="1:11" ht="27" thickBot="1" x14ac:dyDescent="0.45">
      <c r="A272" s="794"/>
      <c r="B272" s="799" t="s">
        <v>1864</v>
      </c>
      <c r="C272" s="799" t="s">
        <v>1862</v>
      </c>
      <c r="D272" s="799">
        <v>560</v>
      </c>
      <c r="E272" s="799">
        <v>700</v>
      </c>
      <c r="F272" s="719" t="str">
        <f>"$"&amp;IF($K$12="Yes",E272,D272)&amp;"/Unit"</f>
        <v>$560/Unit</v>
      </c>
    </row>
    <row r="273" spans="1:9" ht="26.25" x14ac:dyDescent="0.4">
      <c r="A273" s="794"/>
      <c r="B273" s="794"/>
    </row>
    <row r="275" spans="1:9" ht="24" thickBot="1" x14ac:dyDescent="0.4">
      <c r="A275" s="406" t="s">
        <v>1156</v>
      </c>
    </row>
    <row r="277" spans="1:9" ht="14.45" customHeight="1" x14ac:dyDescent="0.25">
      <c r="B277" s="1438" t="s">
        <v>1769</v>
      </c>
      <c r="C277" s="1439"/>
      <c r="D277" s="1439"/>
    </row>
    <row r="278" spans="1:9" x14ac:dyDescent="0.25">
      <c r="B278" s="702" t="s">
        <v>1503</v>
      </c>
      <c r="C278" s="701" t="s">
        <v>1504</v>
      </c>
      <c r="D278" s="702" t="s">
        <v>1645</v>
      </c>
    </row>
    <row r="279" spans="1:9" x14ac:dyDescent="0.25">
      <c r="B279" s="692" t="s">
        <v>1770</v>
      </c>
      <c r="C279" s="691" t="s">
        <v>1512</v>
      </c>
      <c r="D279" s="692" t="s">
        <v>1771</v>
      </c>
    </row>
    <row r="280" spans="1:9" ht="30" x14ac:dyDescent="0.25">
      <c r="B280" s="692" t="s">
        <v>1772</v>
      </c>
      <c r="C280" s="691" t="s">
        <v>1512</v>
      </c>
      <c r="D280" s="692" t="s">
        <v>1771</v>
      </c>
    </row>
    <row r="281" spans="1:9" x14ac:dyDescent="0.25">
      <c r="B281" s="692" t="s">
        <v>1773</v>
      </c>
      <c r="C281" s="693">
        <v>14315</v>
      </c>
      <c r="D281" s="692" t="s">
        <v>1771</v>
      </c>
    </row>
    <row r="282" spans="1:9" ht="30" x14ac:dyDescent="0.25">
      <c r="B282" s="692" t="s">
        <v>1774</v>
      </c>
      <c r="C282" s="691" t="s">
        <v>1512</v>
      </c>
      <c r="D282" s="692" t="s">
        <v>1771</v>
      </c>
    </row>
    <row r="283" spans="1:9" ht="30" x14ac:dyDescent="0.25">
      <c r="B283" s="692" t="s">
        <v>1775</v>
      </c>
      <c r="C283" s="691" t="s">
        <v>1512</v>
      </c>
      <c r="D283" s="692" t="s">
        <v>1771</v>
      </c>
    </row>
    <row r="284" spans="1:9" x14ac:dyDescent="0.25">
      <c r="B284" s="692" t="s">
        <v>1776</v>
      </c>
      <c r="C284" s="691" t="s">
        <v>1512</v>
      </c>
      <c r="D284" s="692" t="s">
        <v>1771</v>
      </c>
      <c r="E284" s="700"/>
    </row>
    <row r="285" spans="1:9" x14ac:dyDescent="0.25">
      <c r="B285" s="692" t="s">
        <v>1777</v>
      </c>
      <c r="C285" s="691" t="s">
        <v>1512</v>
      </c>
      <c r="D285" s="692" t="s">
        <v>1771</v>
      </c>
      <c r="E285" s="700"/>
    </row>
    <row r="286" spans="1:9" ht="30.75" thickBot="1" x14ac:dyDescent="0.3">
      <c r="B286" s="692" t="s">
        <v>1778</v>
      </c>
      <c r="C286" s="691" t="s">
        <v>1512</v>
      </c>
      <c r="D286" s="692" t="s">
        <v>1771</v>
      </c>
    </row>
    <row r="287" spans="1:9" ht="30.75" thickBot="1" x14ac:dyDescent="0.3">
      <c r="B287" s="692" t="s">
        <v>1779</v>
      </c>
      <c r="C287" s="691" t="s">
        <v>1512</v>
      </c>
      <c r="D287" s="692" t="s">
        <v>1771</v>
      </c>
      <c r="F287" s="717" t="s">
        <v>1175</v>
      </c>
      <c r="G287" s="717" t="s">
        <v>1176</v>
      </c>
      <c r="H287" s="720" t="s">
        <v>1177</v>
      </c>
      <c r="I287" s="720" t="s">
        <v>1618</v>
      </c>
    </row>
    <row r="288" spans="1:9" x14ac:dyDescent="0.25">
      <c r="B288" s="692" t="s">
        <v>1780</v>
      </c>
      <c r="C288" s="694">
        <v>5073</v>
      </c>
      <c r="D288" s="695" t="s">
        <v>1781</v>
      </c>
      <c r="F288" s="718" t="s">
        <v>63</v>
      </c>
      <c r="G288" s="718" t="s">
        <v>746</v>
      </c>
      <c r="H288" s="721" t="s">
        <v>1156</v>
      </c>
      <c r="I288" s="721">
        <v>1</v>
      </c>
    </row>
    <row r="289" spans="2:9" ht="45.75" thickBot="1" x14ac:dyDescent="0.3">
      <c r="B289" s="696" t="s">
        <v>1782</v>
      </c>
      <c r="C289" s="691" t="s">
        <v>1512</v>
      </c>
      <c r="D289" s="692" t="s">
        <v>1771</v>
      </c>
      <c r="F289" s="718" t="s">
        <v>1192</v>
      </c>
      <c r="G289" s="718" t="s">
        <v>747</v>
      </c>
      <c r="H289" s="722" t="s">
        <v>1178</v>
      </c>
      <c r="I289" s="722">
        <v>2</v>
      </c>
    </row>
    <row r="290" spans="2:9" ht="30.75" thickBot="1" x14ac:dyDescent="0.3">
      <c r="B290" s="696" t="s">
        <v>1783</v>
      </c>
      <c r="C290" s="691" t="s">
        <v>1512</v>
      </c>
      <c r="D290" s="692" t="s">
        <v>1771</v>
      </c>
      <c r="F290" s="719" t="s">
        <v>1174</v>
      </c>
      <c r="G290" s="718" t="s">
        <v>748</v>
      </c>
    </row>
    <row r="291" spans="2:9" ht="45" x14ac:dyDescent="0.25">
      <c r="B291" s="696" t="s">
        <v>1784</v>
      </c>
      <c r="C291" s="697" t="s">
        <v>1785</v>
      </c>
      <c r="D291" s="692" t="s">
        <v>1771</v>
      </c>
      <c r="G291" s="718" t="s">
        <v>749</v>
      </c>
    </row>
    <row r="292" spans="2:9" ht="30" x14ac:dyDescent="0.25">
      <c r="B292" s="696" t="s">
        <v>1786</v>
      </c>
      <c r="C292" s="697" t="s">
        <v>1787</v>
      </c>
      <c r="D292" s="692" t="s">
        <v>1771</v>
      </c>
      <c r="G292" s="718" t="s">
        <v>124</v>
      </c>
    </row>
    <row r="293" spans="2:9" ht="30.75" thickBot="1" x14ac:dyDescent="0.3">
      <c r="B293" s="696" t="s">
        <v>1788</v>
      </c>
      <c r="C293" s="697" t="s">
        <v>1789</v>
      </c>
      <c r="D293" s="692" t="s">
        <v>1771</v>
      </c>
      <c r="G293" s="719" t="s">
        <v>20</v>
      </c>
    </row>
    <row r="294" spans="2:9" x14ac:dyDescent="0.25">
      <c r="B294" s="696" t="s">
        <v>1197</v>
      </c>
      <c r="C294" s="693">
        <v>33013</v>
      </c>
      <c r="D294" s="698" t="s">
        <v>164</v>
      </c>
    </row>
    <row r="295" spans="2:9" ht="30" x14ac:dyDescent="0.25">
      <c r="B295" s="696" t="s">
        <v>1790</v>
      </c>
      <c r="C295" s="691">
        <v>5.202</v>
      </c>
      <c r="D295" s="698" t="s">
        <v>164</v>
      </c>
    </row>
    <row r="296" spans="2:9" ht="30" x14ac:dyDescent="0.25">
      <c r="B296" s="696" t="s">
        <v>1198</v>
      </c>
      <c r="C296" s="691">
        <v>0.746</v>
      </c>
      <c r="D296" s="698" t="s">
        <v>164</v>
      </c>
    </row>
    <row r="297" spans="2:9" ht="30" x14ac:dyDescent="0.25">
      <c r="B297" s="696" t="s">
        <v>1195</v>
      </c>
      <c r="C297" s="691">
        <v>4.5</v>
      </c>
      <c r="D297" s="698" t="s">
        <v>164</v>
      </c>
    </row>
    <row r="298" spans="2:9" ht="30" x14ac:dyDescent="0.25">
      <c r="B298" s="699" t="s">
        <v>1791</v>
      </c>
      <c r="C298" s="691">
        <v>1.08</v>
      </c>
      <c r="D298" s="698" t="s">
        <v>164</v>
      </c>
    </row>
    <row r="299" spans="2:9" ht="30" x14ac:dyDescent="0.25">
      <c r="B299" s="699" t="s">
        <v>1196</v>
      </c>
      <c r="C299" s="693">
        <v>1000000</v>
      </c>
      <c r="D299" s="698" t="s">
        <v>164</v>
      </c>
    </row>
    <row r="300" spans="2:9" x14ac:dyDescent="0.25">
      <c r="B300" s="699" t="s">
        <v>1199</v>
      </c>
      <c r="C300" s="693">
        <v>1000</v>
      </c>
      <c r="D300" s="698" t="s">
        <v>164</v>
      </c>
    </row>
    <row r="301" spans="2:9" x14ac:dyDescent="0.25">
      <c r="B301" s="699" t="s">
        <v>1792</v>
      </c>
      <c r="C301" s="691">
        <v>0.8</v>
      </c>
      <c r="D301" s="698" t="s">
        <v>1793</v>
      </c>
    </row>
    <row r="306" spans="1:4" ht="24" thickBot="1" x14ac:dyDescent="0.4">
      <c r="A306" s="406" t="s">
        <v>1178</v>
      </c>
    </row>
    <row r="307" spans="1:4" ht="15.75" thickBot="1" x14ac:dyDescent="0.3"/>
    <row r="308" spans="1:4" ht="14.45" customHeight="1" x14ac:dyDescent="0.25">
      <c r="B308" s="1440" t="s">
        <v>1769</v>
      </c>
      <c r="C308" s="1441"/>
      <c r="D308" s="1442"/>
    </row>
    <row r="309" spans="1:4" ht="15.75" thickBot="1" x14ac:dyDescent="0.3">
      <c r="B309" s="714" t="s">
        <v>1503</v>
      </c>
      <c r="C309" s="715" t="s">
        <v>1504</v>
      </c>
      <c r="D309" s="716" t="s">
        <v>1645</v>
      </c>
    </row>
    <row r="310" spans="1:4" x14ac:dyDescent="0.25">
      <c r="B310" s="730" t="s">
        <v>1770</v>
      </c>
      <c r="C310" s="712" t="s">
        <v>1512</v>
      </c>
      <c r="D310" s="713" t="s">
        <v>1771</v>
      </c>
    </row>
    <row r="311" spans="1:4" ht="30" x14ac:dyDescent="0.25">
      <c r="B311" s="704" t="s">
        <v>1772</v>
      </c>
      <c r="C311" s="691" t="s">
        <v>1512</v>
      </c>
      <c r="D311" s="703" t="s">
        <v>1771</v>
      </c>
    </row>
    <row r="312" spans="1:4" ht="45" x14ac:dyDescent="0.25">
      <c r="B312" s="706" t="s">
        <v>1782</v>
      </c>
      <c r="C312" s="691" t="s">
        <v>1512</v>
      </c>
      <c r="D312" s="703" t="s">
        <v>1771</v>
      </c>
    </row>
    <row r="313" spans="1:4" ht="30" x14ac:dyDescent="0.25">
      <c r="B313" s="704" t="s">
        <v>1774</v>
      </c>
      <c r="C313" s="691" t="s">
        <v>1512</v>
      </c>
      <c r="D313" s="703" t="s">
        <v>1771</v>
      </c>
    </row>
    <row r="314" spans="1:4" ht="30" x14ac:dyDescent="0.25">
      <c r="B314" s="704" t="s">
        <v>1775</v>
      </c>
      <c r="C314" s="691" t="s">
        <v>1512</v>
      </c>
      <c r="D314" s="703" t="s">
        <v>1771</v>
      </c>
    </row>
    <row r="315" spans="1:4" x14ac:dyDescent="0.25">
      <c r="B315" s="704" t="s">
        <v>1776</v>
      </c>
      <c r="C315" s="691" t="s">
        <v>1512</v>
      </c>
      <c r="D315" s="703" t="s">
        <v>1771</v>
      </c>
    </row>
    <row r="316" spans="1:4" x14ac:dyDescent="0.25">
      <c r="B316" s="704" t="s">
        <v>1777</v>
      </c>
      <c r="C316" s="691" t="s">
        <v>1512</v>
      </c>
      <c r="D316" s="703" t="s">
        <v>1771</v>
      </c>
    </row>
    <row r="317" spans="1:4" ht="30" x14ac:dyDescent="0.25">
      <c r="B317" s="704" t="s">
        <v>1778</v>
      </c>
      <c r="C317" s="691" t="s">
        <v>1512</v>
      </c>
      <c r="D317" s="703" t="s">
        <v>1771</v>
      </c>
    </row>
    <row r="318" spans="1:4" ht="30" x14ac:dyDescent="0.25">
      <c r="B318" s="704" t="s">
        <v>1779</v>
      </c>
      <c r="C318" s="691" t="s">
        <v>1512</v>
      </c>
      <c r="D318" s="703" t="s">
        <v>1771</v>
      </c>
    </row>
    <row r="319" spans="1:4" x14ac:dyDescent="0.25">
      <c r="B319" s="704" t="s">
        <v>1780</v>
      </c>
      <c r="C319" s="694">
        <v>5073</v>
      </c>
      <c r="D319" s="705" t="s">
        <v>1781</v>
      </c>
    </row>
    <row r="320" spans="1:4" x14ac:dyDescent="0.25">
      <c r="B320" s="704" t="s">
        <v>1794</v>
      </c>
      <c r="C320" s="694">
        <v>776</v>
      </c>
      <c r="D320" s="705" t="s">
        <v>1795</v>
      </c>
    </row>
    <row r="321" spans="2:4" ht="45" x14ac:dyDescent="0.25">
      <c r="B321" s="706" t="s">
        <v>1782</v>
      </c>
      <c r="C321" s="691" t="s">
        <v>1512</v>
      </c>
      <c r="D321" s="703" t="s">
        <v>1771</v>
      </c>
    </row>
    <row r="322" spans="2:4" x14ac:dyDescent="0.25">
      <c r="B322" s="706"/>
      <c r="C322" s="691"/>
      <c r="D322" s="703"/>
    </row>
    <row r="323" spans="2:4" ht="30" x14ac:dyDescent="0.25">
      <c r="B323" s="706" t="s">
        <v>1783</v>
      </c>
      <c r="C323" s="691" t="s">
        <v>1512</v>
      </c>
      <c r="D323" s="703" t="s">
        <v>1771</v>
      </c>
    </row>
    <row r="324" spans="2:4" x14ac:dyDescent="0.25">
      <c r="B324" s="706"/>
      <c r="C324" s="691"/>
      <c r="D324" s="703"/>
    </row>
    <row r="325" spans="2:4" ht="45" x14ac:dyDescent="0.25">
      <c r="B325" s="706" t="s">
        <v>1784</v>
      </c>
      <c r="C325" s="697" t="s">
        <v>1785</v>
      </c>
      <c r="D325" s="703" t="s">
        <v>1771</v>
      </c>
    </row>
    <row r="326" spans="2:4" ht="30" x14ac:dyDescent="0.25">
      <c r="B326" s="706" t="s">
        <v>1786</v>
      </c>
      <c r="C326" s="697" t="s">
        <v>1787</v>
      </c>
      <c r="D326" s="703" t="s">
        <v>1771</v>
      </c>
    </row>
    <row r="327" spans="2:4" ht="30" x14ac:dyDescent="0.25">
      <c r="B327" s="706" t="s">
        <v>1788</v>
      </c>
      <c r="C327" s="697" t="s">
        <v>1789</v>
      </c>
      <c r="D327" s="703" t="s">
        <v>1771</v>
      </c>
    </row>
    <row r="328" spans="2:4" x14ac:dyDescent="0.25">
      <c r="B328" s="706" t="s">
        <v>1197</v>
      </c>
      <c r="C328" s="693">
        <v>33013</v>
      </c>
      <c r="D328" s="707" t="s">
        <v>164</v>
      </c>
    </row>
    <row r="329" spans="2:4" ht="30" x14ac:dyDescent="0.25">
      <c r="B329" s="706" t="s">
        <v>1790</v>
      </c>
      <c r="C329" s="691">
        <v>5.202</v>
      </c>
      <c r="D329" s="707" t="s">
        <v>164</v>
      </c>
    </row>
    <row r="330" spans="2:4" ht="30" x14ac:dyDescent="0.25">
      <c r="B330" s="706" t="s">
        <v>1198</v>
      </c>
      <c r="C330" s="691">
        <v>0.746</v>
      </c>
      <c r="D330" s="707" t="s">
        <v>164</v>
      </c>
    </row>
    <row r="331" spans="2:4" ht="30" x14ac:dyDescent="0.25">
      <c r="B331" s="706" t="s">
        <v>1195</v>
      </c>
      <c r="C331" s="691">
        <v>4.5</v>
      </c>
      <c r="D331" s="707" t="s">
        <v>164</v>
      </c>
    </row>
    <row r="332" spans="2:4" ht="30" x14ac:dyDescent="0.25">
      <c r="B332" s="708" t="s">
        <v>1791</v>
      </c>
      <c r="C332" s="691">
        <v>1.08</v>
      </c>
      <c r="D332" s="707" t="s">
        <v>164</v>
      </c>
    </row>
    <row r="333" spans="2:4" ht="30" x14ac:dyDescent="0.25">
      <c r="B333" s="708" t="s">
        <v>1196</v>
      </c>
      <c r="C333" s="693">
        <v>1000000</v>
      </c>
      <c r="D333" s="707" t="s">
        <v>164</v>
      </c>
    </row>
    <row r="334" spans="2:4" x14ac:dyDescent="0.25">
      <c r="B334" s="708" t="s">
        <v>1199</v>
      </c>
      <c r="C334" s="693">
        <v>1000</v>
      </c>
      <c r="D334" s="707" t="s">
        <v>164</v>
      </c>
    </row>
    <row r="335" spans="2:4" ht="15.75" thickBot="1" x14ac:dyDescent="0.3">
      <c r="B335" s="709" t="s">
        <v>1792</v>
      </c>
      <c r="C335" s="710">
        <v>0.8</v>
      </c>
      <c r="D335" s="711" t="s">
        <v>1793</v>
      </c>
    </row>
    <row r="338" spans="1:9" ht="24" thickBot="1" x14ac:dyDescent="0.4">
      <c r="A338" s="406" t="s">
        <v>1811</v>
      </c>
    </row>
    <row r="339" spans="1:9" ht="15.75" thickBot="1" x14ac:dyDescent="0.3"/>
    <row r="340" spans="1:9" x14ac:dyDescent="0.25">
      <c r="B340" s="1274" t="s">
        <v>1502</v>
      </c>
      <c r="C340" s="1275"/>
      <c r="D340" s="1276"/>
      <c r="F340" s="1280" t="s">
        <v>1827</v>
      </c>
      <c r="G340" s="1281"/>
    </row>
    <row r="341" spans="1:9" ht="15.75" thickBot="1" x14ac:dyDescent="0.3">
      <c r="B341" s="1268" t="s">
        <v>1503</v>
      </c>
      <c r="C341" s="1270" t="s">
        <v>1504</v>
      </c>
      <c r="D341" s="1272" t="s">
        <v>1505</v>
      </c>
      <c r="F341" s="734" t="s">
        <v>1828</v>
      </c>
      <c r="G341" s="735" t="s">
        <v>1829</v>
      </c>
    </row>
    <row r="342" spans="1:9" ht="15.75" thickBot="1" x14ac:dyDescent="0.3">
      <c r="B342" s="1269"/>
      <c r="C342" s="1271"/>
      <c r="D342" s="1273"/>
      <c r="F342" s="730" t="s">
        <v>1850</v>
      </c>
      <c r="G342" s="736">
        <v>10.5</v>
      </c>
    </row>
    <row r="343" spans="1:9" ht="45" x14ac:dyDescent="0.25">
      <c r="B343" s="730" t="s">
        <v>1812</v>
      </c>
      <c r="C343" s="729" t="s">
        <v>1813</v>
      </c>
      <c r="D343" s="713" t="s">
        <v>1522</v>
      </c>
      <c r="F343" s="704" t="s">
        <v>1851</v>
      </c>
      <c r="G343" s="737">
        <v>12.9</v>
      </c>
    </row>
    <row r="344" spans="1:9" x14ac:dyDescent="0.25">
      <c r="B344" s="704" t="s">
        <v>1814</v>
      </c>
      <c r="C344" s="727" t="s">
        <v>1815</v>
      </c>
      <c r="D344" s="703" t="s">
        <v>1522</v>
      </c>
      <c r="F344" s="704" t="s">
        <v>1189</v>
      </c>
      <c r="G344" s="737">
        <v>19.8</v>
      </c>
    </row>
    <row r="345" spans="1:9" ht="30.75" thickBot="1" x14ac:dyDescent="0.3">
      <c r="B345" s="704" t="s">
        <v>1816</v>
      </c>
      <c r="C345" s="727" t="s">
        <v>1817</v>
      </c>
      <c r="D345" s="703" t="s">
        <v>1522</v>
      </c>
      <c r="F345" s="731" t="s">
        <v>1381</v>
      </c>
      <c r="G345" s="738">
        <v>20.8</v>
      </c>
    </row>
    <row r="346" spans="1:9" ht="15.75" thickBot="1" x14ac:dyDescent="0.3">
      <c r="B346" s="704" t="s">
        <v>1818</v>
      </c>
      <c r="C346" s="727" t="s">
        <v>1815</v>
      </c>
      <c r="D346" s="703" t="s">
        <v>1522</v>
      </c>
    </row>
    <row r="347" spans="1:9" ht="30.75" thickBot="1" x14ac:dyDescent="0.3">
      <c r="B347" s="704" t="s">
        <v>1819</v>
      </c>
      <c r="C347" s="727" t="s">
        <v>1820</v>
      </c>
      <c r="D347" s="703" t="s">
        <v>1522</v>
      </c>
      <c r="F347" s="742" t="s">
        <v>1172</v>
      </c>
      <c r="G347" s="742" t="s">
        <v>1188</v>
      </c>
      <c r="H347" s="742" t="s">
        <v>1385</v>
      </c>
      <c r="I347" s="742" t="s">
        <v>1830</v>
      </c>
    </row>
    <row r="348" spans="1:9" x14ac:dyDescent="0.25">
      <c r="B348" s="704" t="s">
        <v>1821</v>
      </c>
      <c r="C348" s="727" t="s">
        <v>1822</v>
      </c>
      <c r="D348" s="703" t="s">
        <v>1522</v>
      </c>
      <c r="F348" s="739" t="s">
        <v>1179</v>
      </c>
      <c r="G348" s="739" t="s">
        <v>1157</v>
      </c>
      <c r="H348" s="739" t="s">
        <v>1384</v>
      </c>
      <c r="I348" s="739">
        <v>0.75</v>
      </c>
    </row>
    <row r="349" spans="1:9" ht="45.75" thickBot="1" x14ac:dyDescent="0.3">
      <c r="B349" s="704" t="s">
        <v>1823</v>
      </c>
      <c r="C349" s="728" t="s">
        <v>1824</v>
      </c>
      <c r="D349" s="703" t="s">
        <v>1522</v>
      </c>
      <c r="F349" s="739" t="s">
        <v>1180</v>
      </c>
      <c r="G349" s="743" t="s">
        <v>868</v>
      </c>
      <c r="H349" s="743" t="s">
        <v>1386</v>
      </c>
      <c r="I349" s="743">
        <v>1</v>
      </c>
    </row>
    <row r="350" spans="1:9" x14ac:dyDescent="0.25">
      <c r="B350" s="704" t="s">
        <v>1825</v>
      </c>
      <c r="C350" s="726">
        <v>4988</v>
      </c>
      <c r="D350" s="703" t="s">
        <v>1522</v>
      </c>
      <c r="F350" s="740" t="s">
        <v>1181</v>
      </c>
    </row>
    <row r="351" spans="1:9" ht="15.75" thickBot="1" x14ac:dyDescent="0.3">
      <c r="B351" s="731" t="s">
        <v>1826</v>
      </c>
      <c r="C351" s="732">
        <v>0.8</v>
      </c>
      <c r="D351" s="733" t="s">
        <v>1522</v>
      </c>
      <c r="F351" s="740" t="s">
        <v>1182</v>
      </c>
    </row>
    <row r="352" spans="1:9" x14ac:dyDescent="0.25">
      <c r="F352" s="740" t="s">
        <v>1183</v>
      </c>
    </row>
    <row r="353" spans="1:6" x14ac:dyDescent="0.25">
      <c r="F353" s="740" t="s">
        <v>1184</v>
      </c>
    </row>
    <row r="354" spans="1:6" x14ac:dyDescent="0.25">
      <c r="F354" s="740" t="s">
        <v>1185</v>
      </c>
    </row>
    <row r="355" spans="1:6" x14ac:dyDescent="0.25">
      <c r="F355" s="740" t="s">
        <v>1186</v>
      </c>
    </row>
    <row r="356" spans="1:6" ht="15.75" thickBot="1" x14ac:dyDescent="0.3">
      <c r="F356" s="741" t="s">
        <v>1187</v>
      </c>
    </row>
    <row r="362" spans="1:6" ht="24" thickBot="1" x14ac:dyDescent="0.4">
      <c r="A362" s="406" t="s">
        <v>1864</v>
      </c>
    </row>
    <row r="364" spans="1:6" ht="15.75" thickBot="1" x14ac:dyDescent="0.3"/>
    <row r="365" spans="1:6" x14ac:dyDescent="0.25">
      <c r="B365" s="1274" t="s">
        <v>1502</v>
      </c>
      <c r="C365" s="1275"/>
      <c r="D365" s="1276"/>
    </row>
    <row r="366" spans="1:6" x14ac:dyDescent="0.25">
      <c r="B366" s="1268" t="s">
        <v>1503</v>
      </c>
      <c r="C366" s="1270" t="s">
        <v>1504</v>
      </c>
      <c r="D366" s="1272" t="s">
        <v>1505</v>
      </c>
    </row>
    <row r="367" spans="1:6" ht="15.75" thickBot="1" x14ac:dyDescent="0.3">
      <c r="B367" s="1269"/>
      <c r="C367" s="1271"/>
      <c r="D367" s="1273"/>
    </row>
    <row r="368" spans="1:6" x14ac:dyDescent="0.25">
      <c r="B368" s="730" t="s">
        <v>1865</v>
      </c>
      <c r="C368" s="729" t="s">
        <v>1815</v>
      </c>
      <c r="D368" s="713" t="s">
        <v>1815</v>
      </c>
    </row>
    <row r="369" spans="2:4" ht="30" x14ac:dyDescent="0.25">
      <c r="B369" s="704" t="s">
        <v>1866</v>
      </c>
      <c r="C369" s="727">
        <v>0.61199999999999999</v>
      </c>
      <c r="D369" s="703" t="s">
        <v>1522</v>
      </c>
    </row>
    <row r="370" spans="2:4" ht="30" x14ac:dyDescent="0.25">
      <c r="B370" s="704" t="s">
        <v>1867</v>
      </c>
      <c r="C370" s="882">
        <v>4423</v>
      </c>
      <c r="D370" s="703" t="s">
        <v>1522</v>
      </c>
    </row>
    <row r="371" spans="2:4" ht="30" x14ac:dyDescent="0.25">
      <c r="B371" s="704" t="s">
        <v>1868</v>
      </c>
      <c r="C371" s="727">
        <v>18.899999999999999</v>
      </c>
      <c r="D371" s="703" t="s">
        <v>1522</v>
      </c>
    </row>
    <row r="372" spans="2:4" ht="15.75" thickBot="1" x14ac:dyDescent="0.3">
      <c r="B372" s="731" t="s">
        <v>1826</v>
      </c>
      <c r="C372" s="883">
        <v>0.9</v>
      </c>
      <c r="D372" s="733" t="s">
        <v>1522</v>
      </c>
    </row>
  </sheetData>
  <mergeCells count="204">
    <mergeCell ref="I185:I186"/>
    <mergeCell ref="H185:H186"/>
    <mergeCell ref="B277:D277"/>
    <mergeCell ref="B308:D308"/>
    <mergeCell ref="I208:N208"/>
    <mergeCell ref="B213:E213"/>
    <mergeCell ref="C145:C148"/>
    <mergeCell ref="D145:D146"/>
    <mergeCell ref="G145:G148"/>
    <mergeCell ref="D147:D148"/>
    <mergeCell ref="F198:F199"/>
    <mergeCell ref="B191:B194"/>
    <mergeCell ref="B195:B201"/>
    <mergeCell ref="D196:E196"/>
    <mergeCell ref="D197:E197"/>
    <mergeCell ref="D199:E199"/>
    <mergeCell ref="D200:E200"/>
    <mergeCell ref="D201:E201"/>
    <mergeCell ref="D191:E191"/>
    <mergeCell ref="D192:E192"/>
    <mergeCell ref="D198:E198"/>
    <mergeCell ref="D175:E175"/>
    <mergeCell ref="D177:E177"/>
    <mergeCell ref="B173:B174"/>
    <mergeCell ref="C173:C174"/>
    <mergeCell ref="D173:D174"/>
    <mergeCell ref="B175:B176"/>
    <mergeCell ref="D176:E176"/>
    <mergeCell ref="B177:B178"/>
    <mergeCell ref="D178:E178"/>
    <mergeCell ref="B179:B180"/>
    <mergeCell ref="D179:E179"/>
    <mergeCell ref="D180:E180"/>
    <mergeCell ref="D133:D134"/>
    <mergeCell ref="D135:D136"/>
    <mergeCell ref="B149:C153"/>
    <mergeCell ref="B160:E160"/>
    <mergeCell ref="C168:D168"/>
    <mergeCell ref="B161:B162"/>
    <mergeCell ref="C161:D161"/>
    <mergeCell ref="E161:E162"/>
    <mergeCell ref="C162:D162"/>
    <mergeCell ref="C163:D163"/>
    <mergeCell ref="C164:D164"/>
    <mergeCell ref="B187:B190"/>
    <mergeCell ref="D187:E187"/>
    <mergeCell ref="D188:E188"/>
    <mergeCell ref="B185:B186"/>
    <mergeCell ref="C185:C186"/>
    <mergeCell ref="D185:D186"/>
    <mergeCell ref="E185:E186"/>
    <mergeCell ref="F185:F186"/>
    <mergeCell ref="B184:F184"/>
    <mergeCell ref="A30:B30"/>
    <mergeCell ref="B71:B72"/>
    <mergeCell ref="C71:C72"/>
    <mergeCell ref="G71:G72"/>
    <mergeCell ref="B70:G70"/>
    <mergeCell ref="D71:F71"/>
    <mergeCell ref="B73:B77"/>
    <mergeCell ref="D79:E79"/>
    <mergeCell ref="D80:E80"/>
    <mergeCell ref="G80:G81"/>
    <mergeCell ref="B102:B105"/>
    <mergeCell ref="D102:E102"/>
    <mergeCell ref="B84:B89"/>
    <mergeCell ref="D84:E84"/>
    <mergeCell ref="D86:E86"/>
    <mergeCell ref="B78:B83"/>
    <mergeCell ref="D78:E78"/>
    <mergeCell ref="C86:C87"/>
    <mergeCell ref="B90:B95"/>
    <mergeCell ref="D90:E90"/>
    <mergeCell ref="D92:E92"/>
    <mergeCell ref="D81:E81"/>
    <mergeCell ref="C84:C85"/>
    <mergeCell ref="D85:E85"/>
    <mergeCell ref="G98:G99"/>
    <mergeCell ref="G96:G97"/>
    <mergeCell ref="B96:B101"/>
    <mergeCell ref="D96:E96"/>
    <mergeCell ref="D98:E98"/>
    <mergeCell ref="C96:C97"/>
    <mergeCell ref="C98:C99"/>
    <mergeCell ref="D97:E97"/>
    <mergeCell ref="D99:E99"/>
    <mergeCell ref="B3:D3"/>
    <mergeCell ref="B110:G110"/>
    <mergeCell ref="B111:B112"/>
    <mergeCell ref="C111:C112"/>
    <mergeCell ref="D111:D112"/>
    <mergeCell ref="E111:E112"/>
    <mergeCell ref="F111:F112"/>
    <mergeCell ref="D87:E87"/>
    <mergeCell ref="G86:G87"/>
    <mergeCell ref="G84:G85"/>
    <mergeCell ref="C90:C91"/>
    <mergeCell ref="C92:C93"/>
    <mergeCell ref="D91:E91"/>
    <mergeCell ref="D93:E93"/>
    <mergeCell ref="G111:G112"/>
    <mergeCell ref="G102:G104"/>
    <mergeCell ref="D103:E103"/>
    <mergeCell ref="D104:E104"/>
    <mergeCell ref="D105:E105"/>
    <mergeCell ref="G92:G93"/>
    <mergeCell ref="G90:G91"/>
    <mergeCell ref="G78:G79"/>
    <mergeCell ref="C78:C79"/>
    <mergeCell ref="C80:C81"/>
    <mergeCell ref="B113:B130"/>
    <mergeCell ref="G127:G130"/>
    <mergeCell ref="D129:D130"/>
    <mergeCell ref="C137:C140"/>
    <mergeCell ref="D137:D138"/>
    <mergeCell ref="G137:G140"/>
    <mergeCell ref="D139:D140"/>
    <mergeCell ref="C141:C144"/>
    <mergeCell ref="D123:D124"/>
    <mergeCell ref="D127:D128"/>
    <mergeCell ref="D141:D142"/>
    <mergeCell ref="G141:G144"/>
    <mergeCell ref="D143:D144"/>
    <mergeCell ref="C123:C126"/>
    <mergeCell ref="D125:D126"/>
    <mergeCell ref="G123:G126"/>
    <mergeCell ref="C127:C130"/>
    <mergeCell ref="G131:G132"/>
    <mergeCell ref="G133:G136"/>
    <mergeCell ref="D115:D116"/>
    <mergeCell ref="D119:D120"/>
    <mergeCell ref="C113:C114"/>
    <mergeCell ref="F113:F114"/>
    <mergeCell ref="C115:C118"/>
    <mergeCell ref="G113:G114"/>
    <mergeCell ref="G115:G118"/>
    <mergeCell ref="G119:G122"/>
    <mergeCell ref="C229:E229"/>
    <mergeCell ref="F229:F230"/>
    <mergeCell ref="C233:E233"/>
    <mergeCell ref="C234:E234"/>
    <mergeCell ref="C242:E242"/>
    <mergeCell ref="F242:F244"/>
    <mergeCell ref="C243:E243"/>
    <mergeCell ref="C244:E244"/>
    <mergeCell ref="C165:D165"/>
    <mergeCell ref="C166:D166"/>
    <mergeCell ref="C167:D167"/>
    <mergeCell ref="D117:D118"/>
    <mergeCell ref="C119:C122"/>
    <mergeCell ref="D121:D122"/>
    <mergeCell ref="E173:E174"/>
    <mergeCell ref="F173:F174"/>
    <mergeCell ref="B172:F172"/>
    <mergeCell ref="B131:B148"/>
    <mergeCell ref="C131:C132"/>
    <mergeCell ref="F131:F132"/>
    <mergeCell ref="C133:C136"/>
    <mergeCell ref="A205:B205"/>
    <mergeCell ref="B229:B230"/>
    <mergeCell ref="C245:E245"/>
    <mergeCell ref="C246:E246"/>
    <mergeCell ref="C247:E247"/>
    <mergeCell ref="C248:E248"/>
    <mergeCell ref="C249:E249"/>
    <mergeCell ref="C250:E250"/>
    <mergeCell ref="C251:E251"/>
    <mergeCell ref="C252:E252"/>
    <mergeCell ref="C253:E253"/>
    <mergeCell ref="J237:J239"/>
    <mergeCell ref="I240:I241"/>
    <mergeCell ref="J240:J241"/>
    <mergeCell ref="H242:H244"/>
    <mergeCell ref="I243:I244"/>
    <mergeCell ref="J243:J244"/>
    <mergeCell ref="H245:H248"/>
    <mergeCell ref="I245:I246"/>
    <mergeCell ref="J245:J246"/>
    <mergeCell ref="I247:I248"/>
    <mergeCell ref="J247:J248"/>
    <mergeCell ref="B366:B367"/>
    <mergeCell ref="C366:C367"/>
    <mergeCell ref="D366:D367"/>
    <mergeCell ref="B365:D365"/>
    <mergeCell ref="A266:B266"/>
    <mergeCell ref="S34:W34"/>
    <mergeCell ref="B341:B342"/>
    <mergeCell ref="C341:C342"/>
    <mergeCell ref="D341:D342"/>
    <mergeCell ref="B340:D340"/>
    <mergeCell ref="F340:G340"/>
    <mergeCell ref="G219:H219"/>
    <mergeCell ref="T228:V228"/>
    <mergeCell ref="H250:K250"/>
    <mergeCell ref="H252:H253"/>
    <mergeCell ref="H254:H255"/>
    <mergeCell ref="H256:H257"/>
    <mergeCell ref="H258:H259"/>
    <mergeCell ref="C254:E254"/>
    <mergeCell ref="H230:H233"/>
    <mergeCell ref="I230:I233"/>
    <mergeCell ref="H234:H241"/>
    <mergeCell ref="I234:I239"/>
    <mergeCell ref="J234:J236"/>
  </mergeCells>
  <phoneticPr fontId="88" type="noConversion"/>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FF0000"/>
  </sheetPr>
  <dimension ref="B2:E631"/>
  <sheetViews>
    <sheetView zoomScaleNormal="100" workbookViewId="0">
      <pane ySplit="8" topLeftCell="A608" activePane="bottomLeft" state="frozen"/>
      <selection pane="bottomLeft" activeCell="B6" sqref="B6"/>
    </sheetView>
  </sheetViews>
  <sheetFormatPr defaultColWidth="9.140625" defaultRowHeight="15.75" x14ac:dyDescent="0.25"/>
  <cols>
    <col min="1" max="1" width="3.5703125" style="8" customWidth="1"/>
    <col min="2" max="2" width="18.5703125" style="8" customWidth="1"/>
    <col min="3" max="3" width="131.42578125" style="10" customWidth="1"/>
    <col min="4" max="4" width="9.140625" style="10"/>
    <col min="5" max="5" width="10.42578125" style="11" bestFit="1" customWidth="1"/>
    <col min="6" max="16384" width="9.140625" style="8"/>
  </cols>
  <sheetData>
    <row r="2" spans="2:5" x14ac:dyDescent="0.25">
      <c r="B2" s="9" t="s">
        <v>359</v>
      </c>
    </row>
    <row r="3" spans="2:5" ht="16.5" thickBot="1" x14ac:dyDescent="0.3">
      <c r="B3" s="8" t="s">
        <v>103</v>
      </c>
    </row>
    <row r="4" spans="2:5" ht="16.5" thickBot="1" x14ac:dyDescent="0.3">
      <c r="B4" s="73">
        <v>2025</v>
      </c>
      <c r="C4" s="10" t="s">
        <v>319</v>
      </c>
    </row>
    <row r="5" spans="2:5" ht="16.5" thickBot="1" x14ac:dyDescent="0.3">
      <c r="B5" s="12" t="s">
        <v>336</v>
      </c>
      <c r="C5" s="10" t="s">
        <v>31</v>
      </c>
    </row>
    <row r="6" spans="2:5" ht="16.5" thickBot="1" x14ac:dyDescent="0.3">
      <c r="B6" s="351" t="s">
        <v>1955</v>
      </c>
      <c r="C6" s="10" t="s">
        <v>32</v>
      </c>
    </row>
    <row r="7" spans="2:5" x14ac:dyDescent="0.25">
      <c r="B7" s="300"/>
      <c r="C7" s="8"/>
    </row>
    <row r="8" spans="2:5" x14ac:dyDescent="0.25">
      <c r="B8" s="13" t="s">
        <v>33</v>
      </c>
      <c r="C8" s="14" t="s">
        <v>34</v>
      </c>
      <c r="D8" s="14" t="s">
        <v>35</v>
      </c>
      <c r="E8" s="15" t="s">
        <v>36</v>
      </c>
    </row>
    <row r="9" spans="2:5" x14ac:dyDescent="0.25">
      <c r="B9" s="18" t="s">
        <v>40</v>
      </c>
      <c r="C9" s="19" t="s">
        <v>38</v>
      </c>
      <c r="D9" s="19" t="s">
        <v>37</v>
      </c>
      <c r="E9" s="20" t="s">
        <v>104</v>
      </c>
    </row>
    <row r="10" spans="2:5" x14ac:dyDescent="0.25">
      <c r="B10" s="21" t="s">
        <v>40</v>
      </c>
      <c r="C10" s="22" t="s">
        <v>102</v>
      </c>
      <c r="D10" s="22" t="s">
        <v>37</v>
      </c>
      <c r="E10" s="23" t="s">
        <v>111</v>
      </c>
    </row>
    <row r="11" spans="2:5" x14ac:dyDescent="0.25">
      <c r="B11" s="24"/>
      <c r="C11" s="24" t="s">
        <v>101</v>
      </c>
      <c r="D11" s="24"/>
      <c r="E11" s="24"/>
    </row>
    <row r="12" spans="2:5" x14ac:dyDescent="0.25">
      <c r="B12" s="24"/>
      <c r="C12" s="24" t="s">
        <v>100</v>
      </c>
      <c r="D12" s="22"/>
      <c r="E12" s="23"/>
    </row>
    <row r="13" spans="2:5" x14ac:dyDescent="0.25">
      <c r="B13" s="24"/>
      <c r="C13" s="22" t="s">
        <v>99</v>
      </c>
      <c r="D13" s="22"/>
      <c r="E13" s="23"/>
    </row>
    <row r="14" spans="2:5" x14ac:dyDescent="0.25">
      <c r="B14" s="24"/>
      <c r="C14" s="22" t="s">
        <v>50</v>
      </c>
      <c r="D14" s="22"/>
      <c r="E14" s="22"/>
    </row>
    <row r="15" spans="2:5" x14ac:dyDescent="0.25">
      <c r="B15" s="25" t="s">
        <v>41</v>
      </c>
      <c r="C15" s="19" t="s">
        <v>42</v>
      </c>
      <c r="D15" s="19" t="s">
        <v>37</v>
      </c>
      <c r="E15" s="20" t="s">
        <v>105</v>
      </c>
    </row>
    <row r="16" spans="2:5" x14ac:dyDescent="0.25">
      <c r="B16" s="25"/>
      <c r="C16" s="19" t="s">
        <v>46</v>
      </c>
      <c r="D16" s="19"/>
      <c r="E16" s="20"/>
    </row>
    <row r="17" spans="2:5" x14ac:dyDescent="0.25">
      <c r="B17" s="25" t="s">
        <v>47</v>
      </c>
      <c r="C17" s="19" t="s">
        <v>48</v>
      </c>
      <c r="D17" s="19" t="s">
        <v>37</v>
      </c>
      <c r="E17" s="20" t="s">
        <v>106</v>
      </c>
    </row>
    <row r="18" spans="2:5" x14ac:dyDescent="0.25">
      <c r="B18" s="25"/>
      <c r="C18" s="19" t="s">
        <v>49</v>
      </c>
      <c r="D18" s="19"/>
      <c r="E18" s="20"/>
    </row>
    <row r="19" spans="2:5" x14ac:dyDescent="0.25">
      <c r="B19" s="25"/>
      <c r="C19" s="19" t="s">
        <v>50</v>
      </c>
      <c r="D19" s="19"/>
      <c r="E19" s="20"/>
    </row>
    <row r="20" spans="2:5" x14ac:dyDescent="0.25">
      <c r="B20" s="25"/>
      <c r="C20" s="19" t="s">
        <v>52</v>
      </c>
      <c r="D20" s="19"/>
      <c r="E20" s="20"/>
    </row>
    <row r="21" spans="2:5" x14ac:dyDescent="0.25">
      <c r="B21" s="25" t="s">
        <v>47</v>
      </c>
      <c r="C21" s="19" t="s">
        <v>53</v>
      </c>
      <c r="D21" s="19" t="s">
        <v>55</v>
      </c>
      <c r="E21" s="20" t="s">
        <v>107</v>
      </c>
    </row>
    <row r="22" spans="2:5" x14ac:dyDescent="0.25">
      <c r="B22" s="25" t="s">
        <v>54</v>
      </c>
      <c r="C22" s="19" t="s">
        <v>53</v>
      </c>
      <c r="D22" s="19" t="s">
        <v>37</v>
      </c>
      <c r="E22" s="20" t="s">
        <v>108</v>
      </c>
    </row>
    <row r="23" spans="2:5" x14ac:dyDescent="0.25">
      <c r="B23" s="25"/>
      <c r="C23" s="19" t="s">
        <v>56</v>
      </c>
      <c r="D23" s="19"/>
      <c r="E23" s="20"/>
    </row>
    <row r="24" spans="2:5" x14ac:dyDescent="0.25">
      <c r="B24" s="25"/>
      <c r="C24" s="19" t="s">
        <v>57</v>
      </c>
      <c r="D24" s="19"/>
      <c r="E24" s="20"/>
    </row>
    <row r="25" spans="2:5" x14ac:dyDescent="0.25">
      <c r="B25" s="25"/>
      <c r="C25" s="19" t="s">
        <v>58</v>
      </c>
      <c r="D25" s="19"/>
      <c r="E25" s="20"/>
    </row>
    <row r="26" spans="2:5" x14ac:dyDescent="0.25">
      <c r="B26" s="25" t="s">
        <v>54</v>
      </c>
      <c r="C26" s="19" t="s">
        <v>59</v>
      </c>
      <c r="D26" s="19" t="s">
        <v>37</v>
      </c>
      <c r="E26" s="20" t="s">
        <v>109</v>
      </c>
    </row>
    <row r="27" spans="2:5" x14ac:dyDescent="0.25">
      <c r="B27" s="25" t="s">
        <v>60</v>
      </c>
      <c r="C27" s="19" t="s">
        <v>61</v>
      </c>
      <c r="D27" s="19" t="s">
        <v>37</v>
      </c>
      <c r="E27" s="20" t="s">
        <v>110</v>
      </c>
    </row>
    <row r="28" spans="2:5" x14ac:dyDescent="0.25">
      <c r="B28" s="24" t="s">
        <v>60</v>
      </c>
      <c r="C28" s="22" t="s">
        <v>46</v>
      </c>
      <c r="D28" s="22" t="s">
        <v>37</v>
      </c>
      <c r="E28" s="23" t="s">
        <v>112</v>
      </c>
    </row>
    <row r="29" spans="2:5" x14ac:dyDescent="0.25">
      <c r="B29" s="24"/>
      <c r="C29" s="22" t="s">
        <v>52</v>
      </c>
      <c r="D29" s="22"/>
      <c r="E29" s="22"/>
    </row>
    <row r="30" spans="2:5" x14ac:dyDescent="0.25">
      <c r="B30" s="24" t="s">
        <v>114</v>
      </c>
      <c r="C30" s="22" t="s">
        <v>98</v>
      </c>
      <c r="D30" s="22" t="s">
        <v>37</v>
      </c>
      <c r="E30" s="23" t="s">
        <v>112</v>
      </c>
    </row>
    <row r="31" spans="2:5" x14ac:dyDescent="0.25">
      <c r="B31" s="24"/>
      <c r="C31" s="22" t="s">
        <v>97</v>
      </c>
      <c r="D31" s="24"/>
      <c r="E31" s="24"/>
    </row>
    <row r="32" spans="2:5" x14ac:dyDescent="0.25">
      <c r="B32" s="24" t="s">
        <v>115</v>
      </c>
      <c r="C32" s="22" t="s">
        <v>96</v>
      </c>
      <c r="D32" s="22" t="s">
        <v>37</v>
      </c>
      <c r="E32" s="23" t="s">
        <v>112</v>
      </c>
    </row>
    <row r="33" spans="2:5" x14ac:dyDescent="0.25">
      <c r="B33" s="24"/>
      <c r="C33" s="22" t="s">
        <v>49</v>
      </c>
      <c r="D33" s="22"/>
      <c r="E33" s="22"/>
    </row>
    <row r="34" spans="2:5" x14ac:dyDescent="0.25">
      <c r="B34" s="24"/>
      <c r="C34" s="22" t="s">
        <v>53</v>
      </c>
      <c r="D34" s="22"/>
      <c r="E34" s="22"/>
    </row>
    <row r="35" spans="2:5" x14ac:dyDescent="0.25">
      <c r="B35" s="24"/>
      <c r="C35" s="22" t="s">
        <v>95</v>
      </c>
      <c r="D35" s="24"/>
      <c r="E35" s="24"/>
    </row>
    <row r="36" spans="2:5" x14ac:dyDescent="0.25">
      <c r="B36" s="24" t="s">
        <v>115</v>
      </c>
      <c r="C36" s="24" t="s">
        <v>48</v>
      </c>
      <c r="D36" s="22" t="s">
        <v>37</v>
      </c>
      <c r="E36" s="23" t="s">
        <v>113</v>
      </c>
    </row>
    <row r="37" spans="2:5" x14ac:dyDescent="0.25">
      <c r="B37" s="8" t="s">
        <v>116</v>
      </c>
      <c r="C37" s="10" t="s">
        <v>117</v>
      </c>
      <c r="D37" s="10" t="s">
        <v>37</v>
      </c>
      <c r="E37" s="11" t="s">
        <v>43</v>
      </c>
    </row>
    <row r="38" spans="2:5" x14ac:dyDescent="0.25">
      <c r="B38" s="8" t="s">
        <v>128</v>
      </c>
      <c r="C38" s="10" t="s">
        <v>129</v>
      </c>
      <c r="D38" s="10" t="s">
        <v>37</v>
      </c>
      <c r="E38" s="11" t="s">
        <v>130</v>
      </c>
    </row>
    <row r="39" spans="2:5" x14ac:dyDescent="0.25">
      <c r="B39" s="8" t="s">
        <v>131</v>
      </c>
      <c r="C39" s="10" t="s">
        <v>132</v>
      </c>
      <c r="D39" s="10" t="s">
        <v>37</v>
      </c>
      <c r="E39" s="11" t="s">
        <v>133</v>
      </c>
    </row>
    <row r="40" spans="2:5" x14ac:dyDescent="0.25">
      <c r="B40" s="8" t="s">
        <v>134</v>
      </c>
      <c r="C40" s="26" t="s">
        <v>136</v>
      </c>
      <c r="D40" s="10" t="s">
        <v>37</v>
      </c>
      <c r="E40" s="11" t="s">
        <v>135</v>
      </c>
    </row>
    <row r="41" spans="2:5" x14ac:dyDescent="0.25">
      <c r="C41" s="10" t="s">
        <v>137</v>
      </c>
    </row>
    <row r="42" spans="2:5" x14ac:dyDescent="0.25">
      <c r="B42" s="8" t="s">
        <v>134</v>
      </c>
      <c r="C42" s="10" t="s">
        <v>138</v>
      </c>
      <c r="D42" s="10" t="s">
        <v>37</v>
      </c>
      <c r="E42" s="11" t="s">
        <v>139</v>
      </c>
    </row>
    <row r="43" spans="2:5" x14ac:dyDescent="0.25">
      <c r="B43" s="8" t="s">
        <v>141</v>
      </c>
      <c r="C43" s="10" t="s">
        <v>142</v>
      </c>
      <c r="D43" s="10" t="s">
        <v>37</v>
      </c>
      <c r="E43" s="11" t="s">
        <v>140</v>
      </c>
    </row>
    <row r="44" spans="2:5" x14ac:dyDescent="0.25">
      <c r="B44" s="8" t="s">
        <v>141</v>
      </c>
      <c r="C44" s="10" t="s">
        <v>143</v>
      </c>
      <c r="D44" s="10" t="s">
        <v>37</v>
      </c>
      <c r="E44" s="11" t="s">
        <v>144</v>
      </c>
    </row>
    <row r="45" spans="2:5" x14ac:dyDescent="0.25">
      <c r="C45" s="10" t="s">
        <v>145</v>
      </c>
    </row>
    <row r="46" spans="2:5" x14ac:dyDescent="0.25">
      <c r="C46" s="10" t="s">
        <v>147</v>
      </c>
    </row>
    <row r="47" spans="2:5" x14ac:dyDescent="0.25">
      <c r="C47" s="19" t="s">
        <v>150</v>
      </c>
    </row>
    <row r="48" spans="2:5" x14ac:dyDescent="0.25">
      <c r="B48" s="8" t="s">
        <v>148</v>
      </c>
      <c r="C48" s="10" t="s">
        <v>149</v>
      </c>
      <c r="D48" s="10" t="s">
        <v>37</v>
      </c>
      <c r="E48" s="11" t="s">
        <v>324</v>
      </c>
    </row>
    <row r="49" spans="2:5" x14ac:dyDescent="0.25">
      <c r="B49" s="8" t="s">
        <v>151</v>
      </c>
      <c r="C49" s="10" t="s">
        <v>152</v>
      </c>
      <c r="D49" s="10" t="s">
        <v>153</v>
      </c>
      <c r="E49" s="11" t="s">
        <v>325</v>
      </c>
    </row>
    <row r="50" spans="2:5" x14ac:dyDescent="0.25">
      <c r="B50" s="8" t="s">
        <v>155</v>
      </c>
      <c r="C50" s="10" t="s">
        <v>156</v>
      </c>
      <c r="D50" s="10" t="s">
        <v>55</v>
      </c>
      <c r="E50" s="11" t="s">
        <v>326</v>
      </c>
    </row>
    <row r="51" spans="2:5" x14ac:dyDescent="0.25">
      <c r="C51" s="10" t="s">
        <v>157</v>
      </c>
      <c r="D51" s="10" t="s">
        <v>55</v>
      </c>
      <c r="E51" s="11" t="s">
        <v>326</v>
      </c>
    </row>
    <row r="52" spans="2:5" x14ac:dyDescent="0.25">
      <c r="B52" s="8" t="s">
        <v>215</v>
      </c>
      <c r="C52" s="10" t="s">
        <v>220</v>
      </c>
      <c r="D52" s="10" t="s">
        <v>153</v>
      </c>
      <c r="E52" s="11" t="s">
        <v>327</v>
      </c>
    </row>
    <row r="53" spans="2:5" x14ac:dyDescent="0.25">
      <c r="B53" s="8" t="s">
        <v>215</v>
      </c>
      <c r="C53" s="10" t="s">
        <v>216</v>
      </c>
      <c r="D53" s="10" t="s">
        <v>37</v>
      </c>
      <c r="E53" s="11" t="s">
        <v>327</v>
      </c>
    </row>
    <row r="54" spans="2:5" x14ac:dyDescent="0.25">
      <c r="C54" s="10" t="s">
        <v>217</v>
      </c>
    </row>
    <row r="55" spans="2:5" x14ac:dyDescent="0.25">
      <c r="B55" s="8" t="s">
        <v>218</v>
      </c>
      <c r="C55" s="10" t="s">
        <v>219</v>
      </c>
      <c r="D55" s="10" t="s">
        <v>37</v>
      </c>
      <c r="E55" s="11" t="s">
        <v>327</v>
      </c>
    </row>
    <row r="56" spans="2:5" x14ac:dyDescent="0.25">
      <c r="B56" s="8" t="s">
        <v>268</v>
      </c>
      <c r="C56" s="10" t="s">
        <v>53</v>
      </c>
      <c r="D56" s="10" t="s">
        <v>37</v>
      </c>
      <c r="E56" s="11" t="s">
        <v>327</v>
      </c>
    </row>
    <row r="57" spans="2:5" x14ac:dyDescent="0.25">
      <c r="C57" s="10" t="s">
        <v>269</v>
      </c>
      <c r="E57" s="16"/>
    </row>
    <row r="58" spans="2:5" x14ac:dyDescent="0.25">
      <c r="C58" s="10" t="s">
        <v>270</v>
      </c>
      <c r="E58" s="16"/>
    </row>
    <row r="59" spans="2:5" x14ac:dyDescent="0.25">
      <c r="B59" s="8" t="s">
        <v>271</v>
      </c>
      <c r="C59" s="10" t="s">
        <v>275</v>
      </c>
      <c r="D59" s="10" t="s">
        <v>55</v>
      </c>
      <c r="E59" s="11" t="s">
        <v>327</v>
      </c>
    </row>
    <row r="60" spans="2:5" x14ac:dyDescent="0.25">
      <c r="B60" s="8" t="s">
        <v>274</v>
      </c>
      <c r="C60" s="10" t="s">
        <v>276</v>
      </c>
      <c r="D60" s="10" t="s">
        <v>37</v>
      </c>
      <c r="E60" s="11" t="s">
        <v>328</v>
      </c>
    </row>
    <row r="61" spans="2:5" x14ac:dyDescent="0.25">
      <c r="C61" s="10" t="s">
        <v>277</v>
      </c>
    </row>
    <row r="62" spans="2:5" x14ac:dyDescent="0.25">
      <c r="B62" s="8" t="s">
        <v>278</v>
      </c>
      <c r="C62" s="10" t="s">
        <v>279</v>
      </c>
      <c r="D62" s="10" t="s">
        <v>153</v>
      </c>
      <c r="E62" s="11" t="s">
        <v>329</v>
      </c>
    </row>
    <row r="63" spans="2:5" x14ac:dyDescent="0.25">
      <c r="B63" s="8" t="s">
        <v>280</v>
      </c>
      <c r="C63" s="10" t="s">
        <v>281</v>
      </c>
      <c r="D63" s="10" t="s">
        <v>37</v>
      </c>
      <c r="E63" s="11" t="s">
        <v>329</v>
      </c>
    </row>
    <row r="64" spans="2:5" x14ac:dyDescent="0.25">
      <c r="B64" s="8" t="s">
        <v>284</v>
      </c>
      <c r="C64" s="10" t="s">
        <v>283</v>
      </c>
      <c r="D64" s="10" t="s">
        <v>37</v>
      </c>
      <c r="E64" s="11" t="s">
        <v>329</v>
      </c>
    </row>
    <row r="65" spans="2:5" x14ac:dyDescent="0.25">
      <c r="C65" s="10" t="s">
        <v>285</v>
      </c>
    </row>
    <row r="66" spans="2:5" x14ac:dyDescent="0.25">
      <c r="C66" s="10" t="s">
        <v>286</v>
      </c>
    </row>
    <row r="67" spans="2:5" x14ac:dyDescent="0.25">
      <c r="B67" s="8" t="s">
        <v>287</v>
      </c>
      <c r="C67" s="10" t="s">
        <v>288</v>
      </c>
      <c r="D67" s="10" t="s">
        <v>37</v>
      </c>
      <c r="E67" s="11" t="s">
        <v>329</v>
      </c>
    </row>
    <row r="68" spans="2:5" x14ac:dyDescent="0.25">
      <c r="B68" s="8" t="s">
        <v>289</v>
      </c>
      <c r="C68" s="10" t="s">
        <v>290</v>
      </c>
      <c r="D68" s="10" t="s">
        <v>37</v>
      </c>
      <c r="E68" s="11" t="s">
        <v>329</v>
      </c>
    </row>
    <row r="69" spans="2:5" x14ac:dyDescent="0.25">
      <c r="B69" s="8" t="s">
        <v>291</v>
      </c>
      <c r="C69" s="10" t="s">
        <v>292</v>
      </c>
      <c r="D69" s="10" t="s">
        <v>37</v>
      </c>
      <c r="E69" s="11" t="s">
        <v>329</v>
      </c>
    </row>
    <row r="70" spans="2:5" x14ac:dyDescent="0.25">
      <c r="B70" s="8" t="s">
        <v>293</v>
      </c>
      <c r="C70" s="10" t="s">
        <v>294</v>
      </c>
      <c r="D70" s="10" t="s">
        <v>37</v>
      </c>
      <c r="E70" s="11" t="s">
        <v>329</v>
      </c>
    </row>
    <row r="71" spans="2:5" x14ac:dyDescent="0.25">
      <c r="B71" s="8" t="s">
        <v>296</v>
      </c>
      <c r="C71" s="10" t="s">
        <v>297</v>
      </c>
      <c r="D71" s="10" t="s">
        <v>37</v>
      </c>
      <c r="E71" s="11" t="s">
        <v>329</v>
      </c>
    </row>
    <row r="72" spans="2:5" x14ac:dyDescent="0.25">
      <c r="B72" s="8" t="s">
        <v>298</v>
      </c>
      <c r="C72" s="10" t="s">
        <v>299</v>
      </c>
      <c r="D72" s="10" t="s">
        <v>37</v>
      </c>
      <c r="E72" s="11" t="s">
        <v>329</v>
      </c>
    </row>
    <row r="73" spans="2:5" x14ac:dyDescent="0.25">
      <c r="B73" s="8" t="s">
        <v>300</v>
      </c>
      <c r="C73" s="10" t="s">
        <v>301</v>
      </c>
      <c r="D73" s="10" t="s">
        <v>37</v>
      </c>
      <c r="E73" s="11" t="s">
        <v>329</v>
      </c>
    </row>
    <row r="74" spans="2:5" x14ac:dyDescent="0.25">
      <c r="C74" s="10" t="s">
        <v>302</v>
      </c>
    </row>
    <row r="75" spans="2:5" x14ac:dyDescent="0.25">
      <c r="C75" s="10" t="s">
        <v>303</v>
      </c>
    </row>
    <row r="76" spans="2:5" x14ac:dyDescent="0.25">
      <c r="C76" s="10" t="s">
        <v>304</v>
      </c>
    </row>
    <row r="77" spans="2:5" x14ac:dyDescent="0.25">
      <c r="B77" s="8" t="s">
        <v>310</v>
      </c>
      <c r="C77" s="10" t="s">
        <v>309</v>
      </c>
      <c r="D77" s="10" t="s">
        <v>153</v>
      </c>
      <c r="E77" s="11" t="s">
        <v>329</v>
      </c>
    </row>
    <row r="78" spans="2:5" x14ac:dyDescent="0.25">
      <c r="B78" s="8" t="s">
        <v>313</v>
      </c>
      <c r="C78" s="10" t="s">
        <v>311</v>
      </c>
      <c r="D78" s="10" t="s">
        <v>153</v>
      </c>
      <c r="E78" s="11" t="s">
        <v>329</v>
      </c>
    </row>
    <row r="79" spans="2:5" x14ac:dyDescent="0.25">
      <c r="B79" s="8" t="s">
        <v>313</v>
      </c>
      <c r="C79" s="10" t="s">
        <v>312</v>
      </c>
      <c r="D79" s="10" t="s">
        <v>153</v>
      </c>
      <c r="E79" s="11" t="s">
        <v>329</v>
      </c>
    </row>
    <row r="80" spans="2:5" x14ac:dyDescent="0.25">
      <c r="C80" s="19" t="s">
        <v>330</v>
      </c>
    </row>
    <row r="81" spans="2:5" x14ac:dyDescent="0.25">
      <c r="B81" s="8" t="s">
        <v>320</v>
      </c>
      <c r="C81" s="10" t="s">
        <v>321</v>
      </c>
      <c r="D81" s="10" t="s">
        <v>153</v>
      </c>
      <c r="E81" s="11" t="s">
        <v>323</v>
      </c>
    </row>
    <row r="82" spans="2:5" x14ac:dyDescent="0.25">
      <c r="B82" s="8" t="s">
        <v>320</v>
      </c>
      <c r="C82" s="10" t="s">
        <v>322</v>
      </c>
      <c r="D82" s="10" t="s">
        <v>153</v>
      </c>
      <c r="E82" s="11" t="s">
        <v>323</v>
      </c>
    </row>
    <row r="83" spans="2:5" x14ac:dyDescent="0.25">
      <c r="B83" s="8" t="s">
        <v>320</v>
      </c>
      <c r="C83" s="10" t="s">
        <v>331</v>
      </c>
      <c r="D83" s="10" t="s">
        <v>37</v>
      </c>
      <c r="E83" s="11" t="s">
        <v>323</v>
      </c>
    </row>
    <row r="84" spans="2:5" x14ac:dyDescent="0.25">
      <c r="B84" s="8" t="s">
        <v>320</v>
      </c>
      <c r="C84" s="10" t="s">
        <v>332</v>
      </c>
      <c r="D84" s="10" t="s">
        <v>37</v>
      </c>
      <c r="E84" s="11" t="s">
        <v>323</v>
      </c>
    </row>
    <row r="85" spans="2:5" x14ac:dyDescent="0.25">
      <c r="B85" s="8" t="s">
        <v>335</v>
      </c>
      <c r="C85" s="10" t="s">
        <v>333</v>
      </c>
      <c r="D85" s="10" t="s">
        <v>153</v>
      </c>
      <c r="E85" s="11" t="s">
        <v>323</v>
      </c>
    </row>
    <row r="86" spans="2:5" x14ac:dyDescent="0.25">
      <c r="B86" s="8" t="s">
        <v>335</v>
      </c>
      <c r="C86" s="10" t="s">
        <v>334</v>
      </c>
      <c r="D86" s="10" t="s">
        <v>153</v>
      </c>
      <c r="E86" s="11" t="s">
        <v>323</v>
      </c>
    </row>
    <row r="87" spans="2:5" x14ac:dyDescent="0.25">
      <c r="B87" s="8" t="s">
        <v>339</v>
      </c>
      <c r="C87" s="10" t="s">
        <v>337</v>
      </c>
      <c r="D87" s="10" t="s">
        <v>153</v>
      </c>
      <c r="E87" s="11" t="s">
        <v>336</v>
      </c>
    </row>
    <row r="88" spans="2:5" x14ac:dyDescent="0.25">
      <c r="B88" s="8" t="s">
        <v>340</v>
      </c>
      <c r="C88" s="10" t="s">
        <v>338</v>
      </c>
      <c r="D88" s="10" t="s">
        <v>153</v>
      </c>
      <c r="E88" s="11" t="s">
        <v>336</v>
      </c>
    </row>
    <row r="89" spans="2:5" x14ac:dyDescent="0.25">
      <c r="B89" s="8" t="s">
        <v>340</v>
      </c>
      <c r="C89" s="10" t="s">
        <v>341</v>
      </c>
      <c r="D89" s="10" t="s">
        <v>153</v>
      </c>
      <c r="E89" s="11" t="s">
        <v>336</v>
      </c>
    </row>
    <row r="90" spans="2:5" x14ac:dyDescent="0.25">
      <c r="B90" s="8" t="s">
        <v>343</v>
      </c>
      <c r="C90" s="10" t="s">
        <v>342</v>
      </c>
      <c r="D90" s="10" t="s">
        <v>37</v>
      </c>
      <c r="E90" s="11" t="s">
        <v>336</v>
      </c>
    </row>
    <row r="91" spans="2:5" x14ac:dyDescent="0.25">
      <c r="B91" s="8" t="s">
        <v>347</v>
      </c>
      <c r="C91" s="10" t="s">
        <v>353</v>
      </c>
      <c r="D91" s="10" t="s">
        <v>153</v>
      </c>
      <c r="E91" s="11" t="s">
        <v>352</v>
      </c>
    </row>
    <row r="92" spans="2:5" x14ac:dyDescent="0.25">
      <c r="B92" s="8" t="s">
        <v>347</v>
      </c>
      <c r="C92" s="10" t="s">
        <v>346</v>
      </c>
      <c r="D92" s="10" t="s">
        <v>153</v>
      </c>
      <c r="E92" s="11" t="s">
        <v>345</v>
      </c>
    </row>
    <row r="93" spans="2:5" x14ac:dyDescent="0.25">
      <c r="B93" s="8" t="s">
        <v>347</v>
      </c>
      <c r="C93" s="10" t="s">
        <v>348</v>
      </c>
      <c r="D93" s="10" t="s">
        <v>153</v>
      </c>
      <c r="E93" s="11" t="s">
        <v>345</v>
      </c>
    </row>
    <row r="94" spans="2:5" x14ac:dyDescent="0.25">
      <c r="B94" s="8" t="s">
        <v>347</v>
      </c>
      <c r="C94" s="10" t="s">
        <v>382</v>
      </c>
      <c r="D94" s="10" t="s">
        <v>153</v>
      </c>
      <c r="E94" s="11" t="s">
        <v>345</v>
      </c>
    </row>
    <row r="95" spans="2:5" x14ac:dyDescent="0.25">
      <c r="B95" s="8" t="s">
        <v>351</v>
      </c>
      <c r="C95" s="10" t="s">
        <v>350</v>
      </c>
      <c r="D95" s="10" t="s">
        <v>153</v>
      </c>
      <c r="E95" s="11" t="s">
        <v>345</v>
      </c>
    </row>
    <row r="96" spans="2:5" x14ac:dyDescent="0.25">
      <c r="B96" s="8" t="s">
        <v>351</v>
      </c>
      <c r="C96" s="10" t="s">
        <v>354</v>
      </c>
      <c r="D96" s="10" t="s">
        <v>153</v>
      </c>
      <c r="E96" s="11" t="s">
        <v>345</v>
      </c>
    </row>
    <row r="97" spans="2:5" x14ac:dyDescent="0.25">
      <c r="B97" s="8" t="s">
        <v>357</v>
      </c>
      <c r="C97" s="10" t="s">
        <v>356</v>
      </c>
      <c r="D97" s="10" t="s">
        <v>153</v>
      </c>
      <c r="E97" s="11" t="s">
        <v>355</v>
      </c>
    </row>
    <row r="98" spans="2:5" x14ac:dyDescent="0.25">
      <c r="B98" s="8" t="s">
        <v>365</v>
      </c>
      <c r="C98" s="10" t="s">
        <v>360</v>
      </c>
      <c r="D98" s="10" t="s">
        <v>153</v>
      </c>
      <c r="E98" s="11" t="s">
        <v>358</v>
      </c>
    </row>
    <row r="99" spans="2:5" x14ac:dyDescent="0.25">
      <c r="B99" s="8" t="s">
        <v>365</v>
      </c>
      <c r="C99" s="10" t="s">
        <v>363</v>
      </c>
      <c r="D99" s="10" t="s">
        <v>153</v>
      </c>
      <c r="E99" s="11" t="s">
        <v>358</v>
      </c>
    </row>
    <row r="100" spans="2:5" x14ac:dyDescent="0.25">
      <c r="B100" s="8" t="s">
        <v>365</v>
      </c>
      <c r="C100" s="10" t="s">
        <v>361</v>
      </c>
      <c r="D100" s="10" t="s">
        <v>153</v>
      </c>
      <c r="E100" s="11" t="s">
        <v>358</v>
      </c>
    </row>
    <row r="101" spans="2:5" x14ac:dyDescent="0.25">
      <c r="B101" s="8" t="s">
        <v>365</v>
      </c>
      <c r="C101" s="10" t="s">
        <v>364</v>
      </c>
      <c r="D101" s="10" t="s">
        <v>153</v>
      </c>
      <c r="E101" s="11" t="s">
        <v>358</v>
      </c>
    </row>
    <row r="102" spans="2:5" x14ac:dyDescent="0.25">
      <c r="B102" s="8" t="s">
        <v>365</v>
      </c>
      <c r="C102" s="10" t="s">
        <v>362</v>
      </c>
      <c r="D102" s="10" t="s">
        <v>153</v>
      </c>
      <c r="E102" s="11" t="s">
        <v>358</v>
      </c>
    </row>
    <row r="103" spans="2:5" x14ac:dyDescent="0.25">
      <c r="B103" s="8" t="s">
        <v>369</v>
      </c>
      <c r="C103" s="10" t="s">
        <v>368</v>
      </c>
      <c r="D103" s="10" t="s">
        <v>153</v>
      </c>
      <c r="E103" s="11" t="s">
        <v>366</v>
      </c>
    </row>
    <row r="104" spans="2:5" x14ac:dyDescent="0.25">
      <c r="B104" s="8" t="s">
        <v>369</v>
      </c>
      <c r="C104" s="10" t="s">
        <v>367</v>
      </c>
    </row>
    <row r="105" spans="2:5" x14ac:dyDescent="0.25">
      <c r="B105" s="8" t="s">
        <v>371</v>
      </c>
      <c r="C105" s="10" t="s">
        <v>370</v>
      </c>
      <c r="D105" s="10" t="s">
        <v>153</v>
      </c>
      <c r="E105" s="11" t="s">
        <v>358</v>
      </c>
    </row>
    <row r="106" spans="2:5" x14ac:dyDescent="0.25">
      <c r="B106" s="8" t="s">
        <v>373</v>
      </c>
      <c r="C106" s="10" t="s">
        <v>372</v>
      </c>
      <c r="D106" s="10" t="s">
        <v>153</v>
      </c>
      <c r="E106" s="11" t="s">
        <v>358</v>
      </c>
    </row>
    <row r="107" spans="2:5" x14ac:dyDescent="0.25">
      <c r="B107" s="8" t="s">
        <v>376</v>
      </c>
      <c r="C107" s="10" t="s">
        <v>377</v>
      </c>
      <c r="D107" s="10" t="s">
        <v>37</v>
      </c>
      <c r="E107" s="11" t="s">
        <v>358</v>
      </c>
    </row>
    <row r="108" spans="2:5" x14ac:dyDescent="0.25">
      <c r="B108" s="8" t="s">
        <v>376</v>
      </c>
      <c r="C108" s="10" t="s">
        <v>379</v>
      </c>
      <c r="D108" s="10" t="s">
        <v>37</v>
      </c>
      <c r="E108" s="11" t="s">
        <v>358</v>
      </c>
    </row>
    <row r="109" spans="2:5" x14ac:dyDescent="0.25">
      <c r="B109" s="8" t="s">
        <v>376</v>
      </c>
      <c r="C109" s="10" t="s">
        <v>378</v>
      </c>
      <c r="D109" s="10" t="s">
        <v>37</v>
      </c>
      <c r="E109" s="11" t="s">
        <v>358</v>
      </c>
    </row>
    <row r="110" spans="2:5" x14ac:dyDescent="0.25">
      <c r="B110" s="8" t="s">
        <v>384</v>
      </c>
      <c r="C110" s="10" t="s">
        <v>383</v>
      </c>
      <c r="D110" s="10" t="s">
        <v>153</v>
      </c>
      <c r="E110" s="11" t="s">
        <v>358</v>
      </c>
    </row>
    <row r="111" spans="2:5" x14ac:dyDescent="0.25">
      <c r="B111" s="8" t="s">
        <v>389</v>
      </c>
      <c r="C111" s="10" t="s">
        <v>388</v>
      </c>
      <c r="D111" s="10" t="s">
        <v>153</v>
      </c>
      <c r="E111" s="11" t="s">
        <v>358</v>
      </c>
    </row>
    <row r="112" spans="2:5" x14ac:dyDescent="0.25">
      <c r="B112" s="8" t="s">
        <v>393</v>
      </c>
      <c r="C112" s="10" t="s">
        <v>391</v>
      </c>
      <c r="D112" s="10" t="s">
        <v>153</v>
      </c>
      <c r="E112" s="11" t="s">
        <v>390</v>
      </c>
    </row>
    <row r="113" spans="2:5" x14ac:dyDescent="0.25">
      <c r="B113" s="8" t="s">
        <v>393</v>
      </c>
      <c r="C113" s="10" t="s">
        <v>392</v>
      </c>
      <c r="D113" s="10" t="s">
        <v>153</v>
      </c>
      <c r="E113" s="11" t="s">
        <v>390</v>
      </c>
    </row>
    <row r="114" spans="2:5" ht="31.5" x14ac:dyDescent="0.25">
      <c r="B114" s="8" t="s">
        <v>397</v>
      </c>
      <c r="C114" s="26" t="s">
        <v>394</v>
      </c>
      <c r="D114" s="10" t="s">
        <v>153</v>
      </c>
      <c r="E114" s="11" t="s">
        <v>336</v>
      </c>
    </row>
    <row r="115" spans="2:5" ht="31.5" x14ac:dyDescent="0.25">
      <c r="B115" s="8" t="s">
        <v>397</v>
      </c>
      <c r="C115" s="26" t="s">
        <v>395</v>
      </c>
      <c r="D115" s="10" t="s">
        <v>153</v>
      </c>
      <c r="E115" s="11" t="s">
        <v>336</v>
      </c>
    </row>
    <row r="116" spans="2:5" x14ac:dyDescent="0.25">
      <c r="B116" s="8" t="s">
        <v>397</v>
      </c>
      <c r="C116" s="10" t="s">
        <v>396</v>
      </c>
      <c r="D116" s="10" t="s">
        <v>153</v>
      </c>
      <c r="E116" s="11" t="s">
        <v>336</v>
      </c>
    </row>
    <row r="117" spans="2:5" x14ac:dyDescent="0.25">
      <c r="B117" s="8" t="s">
        <v>398</v>
      </c>
      <c r="C117" s="10" t="s">
        <v>399</v>
      </c>
      <c r="D117" s="10" t="s">
        <v>400</v>
      </c>
      <c r="E117" s="11" t="s">
        <v>358</v>
      </c>
    </row>
    <row r="118" spans="2:5" x14ac:dyDescent="0.25">
      <c r="B118" s="8" t="s">
        <v>403</v>
      </c>
      <c r="C118" s="10" t="s">
        <v>401</v>
      </c>
      <c r="D118" s="10" t="s">
        <v>153</v>
      </c>
      <c r="E118" s="11" t="s">
        <v>336</v>
      </c>
    </row>
    <row r="119" spans="2:5" x14ac:dyDescent="0.25">
      <c r="B119" s="8" t="s">
        <v>403</v>
      </c>
      <c r="C119" s="10" t="s">
        <v>402</v>
      </c>
      <c r="D119" s="10" t="s">
        <v>153</v>
      </c>
      <c r="E119" s="11" t="s">
        <v>336</v>
      </c>
    </row>
    <row r="120" spans="2:5" x14ac:dyDescent="0.25">
      <c r="B120" s="8" t="s">
        <v>431</v>
      </c>
      <c r="C120" s="10" t="s">
        <v>429</v>
      </c>
      <c r="D120" s="10" t="s">
        <v>153</v>
      </c>
      <c r="E120" s="11" t="s">
        <v>428</v>
      </c>
    </row>
    <row r="121" spans="2:5" x14ac:dyDescent="0.25">
      <c r="B121" s="8" t="s">
        <v>432</v>
      </c>
      <c r="C121" s="10" t="s">
        <v>430</v>
      </c>
      <c r="D121" s="10" t="s">
        <v>153</v>
      </c>
      <c r="E121" s="11" t="s">
        <v>428</v>
      </c>
    </row>
    <row r="122" spans="2:5" x14ac:dyDescent="0.25">
      <c r="B122" s="8" t="s">
        <v>437</v>
      </c>
      <c r="C122" s="10" t="s">
        <v>436</v>
      </c>
      <c r="D122" s="10" t="s">
        <v>153</v>
      </c>
      <c r="E122" s="11" t="s">
        <v>336</v>
      </c>
    </row>
    <row r="123" spans="2:5" x14ac:dyDescent="0.25">
      <c r="B123" s="8" t="s">
        <v>437</v>
      </c>
      <c r="C123" s="10" t="s">
        <v>435</v>
      </c>
      <c r="D123" s="10" t="s">
        <v>153</v>
      </c>
      <c r="E123" s="11" t="s">
        <v>336</v>
      </c>
    </row>
    <row r="124" spans="2:5" x14ac:dyDescent="0.25">
      <c r="B124" s="8" t="s">
        <v>439</v>
      </c>
      <c r="C124" s="10" t="s">
        <v>438</v>
      </c>
      <c r="D124" s="10" t="s">
        <v>153</v>
      </c>
      <c r="E124" s="11" t="s">
        <v>336</v>
      </c>
    </row>
    <row r="125" spans="2:5" x14ac:dyDescent="0.25">
      <c r="B125" s="8" t="s">
        <v>501</v>
      </c>
      <c r="C125" s="10" t="s">
        <v>491</v>
      </c>
      <c r="D125" s="10" t="s">
        <v>153</v>
      </c>
      <c r="E125" s="11" t="s">
        <v>358</v>
      </c>
    </row>
    <row r="126" spans="2:5" x14ac:dyDescent="0.25">
      <c r="B126" s="8" t="s">
        <v>501</v>
      </c>
      <c r="C126" s="10" t="s">
        <v>492</v>
      </c>
      <c r="D126" s="10" t="s">
        <v>153</v>
      </c>
      <c r="E126" s="11" t="s">
        <v>358</v>
      </c>
    </row>
    <row r="127" spans="2:5" x14ac:dyDescent="0.25">
      <c r="B127" s="8" t="s">
        <v>501</v>
      </c>
      <c r="C127" s="10" t="s">
        <v>493</v>
      </c>
      <c r="D127" s="10" t="s">
        <v>153</v>
      </c>
      <c r="E127" s="11" t="s">
        <v>358</v>
      </c>
    </row>
    <row r="128" spans="2:5" x14ac:dyDescent="0.25">
      <c r="B128" s="8" t="s">
        <v>501</v>
      </c>
      <c r="C128" s="10" t="s">
        <v>494</v>
      </c>
      <c r="D128" s="10" t="s">
        <v>153</v>
      </c>
      <c r="E128" s="11" t="s">
        <v>358</v>
      </c>
    </row>
    <row r="129" spans="2:5" x14ac:dyDescent="0.25">
      <c r="B129" s="8" t="s">
        <v>501</v>
      </c>
      <c r="C129" s="10" t="s">
        <v>495</v>
      </c>
      <c r="D129" s="10" t="s">
        <v>153</v>
      </c>
      <c r="E129" s="11" t="s">
        <v>358</v>
      </c>
    </row>
    <row r="130" spans="2:5" x14ac:dyDescent="0.25">
      <c r="B130" s="8" t="s">
        <v>501</v>
      </c>
      <c r="C130" s="10" t="s">
        <v>496</v>
      </c>
      <c r="D130" s="10" t="s">
        <v>153</v>
      </c>
      <c r="E130" s="11" t="s">
        <v>358</v>
      </c>
    </row>
    <row r="131" spans="2:5" x14ac:dyDescent="0.25">
      <c r="B131" s="8" t="s">
        <v>501</v>
      </c>
      <c r="C131" s="10" t="s">
        <v>497</v>
      </c>
      <c r="D131" s="10" t="s">
        <v>153</v>
      </c>
      <c r="E131" s="11" t="s">
        <v>358</v>
      </c>
    </row>
    <row r="132" spans="2:5" x14ac:dyDescent="0.25">
      <c r="B132" s="8" t="s">
        <v>501</v>
      </c>
      <c r="C132" s="10" t="s">
        <v>498</v>
      </c>
      <c r="D132" s="10" t="s">
        <v>153</v>
      </c>
      <c r="E132" s="11" t="s">
        <v>358</v>
      </c>
    </row>
    <row r="133" spans="2:5" x14ac:dyDescent="0.25">
      <c r="B133" s="8" t="s">
        <v>501</v>
      </c>
      <c r="C133" s="10" t="s">
        <v>499</v>
      </c>
      <c r="D133" s="10" t="s">
        <v>153</v>
      </c>
      <c r="E133" s="11" t="s">
        <v>358</v>
      </c>
    </row>
    <row r="134" spans="2:5" x14ac:dyDescent="0.25">
      <c r="B134" s="8" t="s">
        <v>501</v>
      </c>
      <c r="C134" s="10" t="s">
        <v>500</v>
      </c>
      <c r="D134" s="10" t="s">
        <v>153</v>
      </c>
      <c r="E134" s="11" t="s">
        <v>358</v>
      </c>
    </row>
    <row r="135" spans="2:5" x14ac:dyDescent="0.25">
      <c r="B135" s="8" t="s">
        <v>502</v>
      </c>
      <c r="C135" s="10" t="s">
        <v>517</v>
      </c>
      <c r="D135" s="10" t="s">
        <v>503</v>
      </c>
      <c r="E135" s="11" t="s">
        <v>358</v>
      </c>
    </row>
    <row r="136" spans="2:5" x14ac:dyDescent="0.25">
      <c r="B136" s="8" t="s">
        <v>504</v>
      </c>
      <c r="C136" s="10" t="s">
        <v>505</v>
      </c>
      <c r="D136" s="10" t="s">
        <v>503</v>
      </c>
      <c r="E136" s="11" t="s">
        <v>358</v>
      </c>
    </row>
    <row r="137" spans="2:5" x14ac:dyDescent="0.25">
      <c r="B137" s="8" t="s">
        <v>504</v>
      </c>
      <c r="C137" s="10" t="s">
        <v>506</v>
      </c>
      <c r="D137" s="10" t="s">
        <v>503</v>
      </c>
      <c r="E137" s="11" t="s">
        <v>358</v>
      </c>
    </row>
    <row r="138" spans="2:5" x14ac:dyDescent="0.25">
      <c r="B138" s="8" t="s">
        <v>504</v>
      </c>
      <c r="C138" s="10" t="s">
        <v>507</v>
      </c>
      <c r="D138" s="10" t="s">
        <v>503</v>
      </c>
      <c r="E138" s="11" t="s">
        <v>358</v>
      </c>
    </row>
    <row r="139" spans="2:5" x14ac:dyDescent="0.25">
      <c r="B139" s="8" t="s">
        <v>504</v>
      </c>
      <c r="C139" s="10" t="s">
        <v>508</v>
      </c>
      <c r="D139" s="10" t="s">
        <v>503</v>
      </c>
      <c r="E139" s="11" t="s">
        <v>358</v>
      </c>
    </row>
    <row r="140" spans="2:5" x14ac:dyDescent="0.25">
      <c r="B140" s="8" t="s">
        <v>504</v>
      </c>
      <c r="C140" s="10" t="s">
        <v>509</v>
      </c>
      <c r="D140" s="10" t="s">
        <v>503</v>
      </c>
      <c r="E140" s="11" t="s">
        <v>358</v>
      </c>
    </row>
    <row r="141" spans="2:5" x14ac:dyDescent="0.25">
      <c r="B141" s="8" t="s">
        <v>504</v>
      </c>
      <c r="C141" s="10" t="s">
        <v>510</v>
      </c>
      <c r="D141" s="10" t="s">
        <v>503</v>
      </c>
      <c r="E141" s="11" t="s">
        <v>358</v>
      </c>
    </row>
    <row r="142" spans="2:5" x14ac:dyDescent="0.25">
      <c r="B142" s="8" t="s">
        <v>504</v>
      </c>
      <c r="C142" s="10" t="s">
        <v>511</v>
      </c>
      <c r="D142" s="10" t="s">
        <v>503</v>
      </c>
      <c r="E142" s="11" t="s">
        <v>358</v>
      </c>
    </row>
    <row r="143" spans="2:5" ht="18.75" x14ac:dyDescent="0.25">
      <c r="B143" s="8" t="s">
        <v>504</v>
      </c>
      <c r="C143" s="10" t="s">
        <v>512</v>
      </c>
      <c r="D143" s="10" t="s">
        <v>503</v>
      </c>
      <c r="E143" s="11" t="s">
        <v>358</v>
      </c>
    </row>
    <row r="144" spans="2:5" x14ac:dyDescent="0.25">
      <c r="B144" s="8" t="s">
        <v>504</v>
      </c>
      <c r="C144" s="10" t="s">
        <v>515</v>
      </c>
      <c r="D144" s="10" t="s">
        <v>503</v>
      </c>
      <c r="E144" s="11" t="s">
        <v>358</v>
      </c>
    </row>
    <row r="145" spans="2:5" x14ac:dyDescent="0.25">
      <c r="B145" s="8" t="s">
        <v>504</v>
      </c>
      <c r="C145" s="10" t="s">
        <v>516</v>
      </c>
      <c r="D145" s="10" t="s">
        <v>503</v>
      </c>
      <c r="E145" s="11" t="s">
        <v>358</v>
      </c>
    </row>
    <row r="146" spans="2:5" x14ac:dyDescent="0.25">
      <c r="B146" s="8" t="s">
        <v>504</v>
      </c>
      <c r="C146" s="10" t="s">
        <v>513</v>
      </c>
      <c r="D146" s="10" t="s">
        <v>503</v>
      </c>
      <c r="E146" s="11" t="s">
        <v>358</v>
      </c>
    </row>
    <row r="147" spans="2:5" x14ac:dyDescent="0.25">
      <c r="B147" s="8" t="s">
        <v>504</v>
      </c>
      <c r="C147" s="10" t="s">
        <v>514</v>
      </c>
      <c r="D147" s="10" t="s">
        <v>503</v>
      </c>
      <c r="E147" s="11" t="s">
        <v>358</v>
      </c>
    </row>
    <row r="148" spans="2:5" ht="31.5" x14ac:dyDescent="0.25">
      <c r="B148" s="8" t="s">
        <v>522</v>
      </c>
      <c r="C148" s="26" t="s">
        <v>518</v>
      </c>
      <c r="D148" s="10" t="s">
        <v>153</v>
      </c>
      <c r="E148" s="11" t="s">
        <v>520</v>
      </c>
    </row>
    <row r="149" spans="2:5" x14ac:dyDescent="0.25">
      <c r="B149" s="8" t="s">
        <v>522</v>
      </c>
      <c r="C149" s="10" t="s">
        <v>519</v>
      </c>
      <c r="D149" s="10" t="s">
        <v>153</v>
      </c>
      <c r="E149" s="11" t="s">
        <v>520</v>
      </c>
    </row>
    <row r="150" spans="2:5" x14ac:dyDescent="0.25">
      <c r="B150" s="8" t="s">
        <v>522</v>
      </c>
      <c r="C150" s="10" t="s">
        <v>521</v>
      </c>
      <c r="D150" s="10" t="s">
        <v>153</v>
      </c>
      <c r="E150" s="11" t="s">
        <v>520</v>
      </c>
    </row>
    <row r="151" spans="2:5" x14ac:dyDescent="0.25">
      <c r="B151" s="8" t="s">
        <v>525</v>
      </c>
      <c r="C151" s="10" t="s">
        <v>524</v>
      </c>
      <c r="D151" s="10" t="s">
        <v>153</v>
      </c>
      <c r="E151" s="11" t="s">
        <v>523</v>
      </c>
    </row>
    <row r="152" spans="2:5" x14ac:dyDescent="0.25">
      <c r="B152" s="8" t="s">
        <v>527</v>
      </c>
      <c r="C152" s="10" t="s">
        <v>526</v>
      </c>
      <c r="D152" s="10" t="s">
        <v>153</v>
      </c>
      <c r="E152" s="11" t="s">
        <v>523</v>
      </c>
    </row>
    <row r="153" spans="2:5" x14ac:dyDescent="0.25">
      <c r="B153" s="8" t="s">
        <v>529</v>
      </c>
      <c r="C153" s="10" t="s">
        <v>530</v>
      </c>
      <c r="D153" s="10" t="s">
        <v>503</v>
      </c>
      <c r="E153" s="11" t="s">
        <v>532</v>
      </c>
    </row>
    <row r="154" spans="2:5" x14ac:dyDescent="0.25">
      <c r="B154" s="8" t="s">
        <v>529</v>
      </c>
      <c r="C154" s="10" t="s">
        <v>531</v>
      </c>
      <c r="D154" s="10" t="s">
        <v>503</v>
      </c>
      <c r="E154" s="11" t="s">
        <v>532</v>
      </c>
    </row>
    <row r="155" spans="2:5" x14ac:dyDescent="0.25">
      <c r="B155" s="8" t="s">
        <v>537</v>
      </c>
      <c r="C155" s="10" t="s">
        <v>538</v>
      </c>
      <c r="D155" s="10" t="s">
        <v>503</v>
      </c>
      <c r="E155" s="11" t="s">
        <v>543</v>
      </c>
    </row>
    <row r="156" spans="2:5" x14ac:dyDescent="0.25">
      <c r="B156" s="8" t="s">
        <v>537</v>
      </c>
      <c r="C156" s="10" t="s">
        <v>539</v>
      </c>
      <c r="D156" s="10" t="s">
        <v>503</v>
      </c>
      <c r="E156" s="11" t="s">
        <v>543</v>
      </c>
    </row>
    <row r="157" spans="2:5" x14ac:dyDescent="0.25">
      <c r="B157" s="8" t="s">
        <v>537</v>
      </c>
      <c r="C157" s="10" t="s">
        <v>541</v>
      </c>
      <c r="D157" s="10" t="s">
        <v>503</v>
      </c>
      <c r="E157" s="11" t="s">
        <v>543</v>
      </c>
    </row>
    <row r="158" spans="2:5" x14ac:dyDescent="0.25">
      <c r="B158" s="8" t="s">
        <v>537</v>
      </c>
      <c r="C158" s="10" t="s">
        <v>542</v>
      </c>
      <c r="D158" s="10" t="s">
        <v>503</v>
      </c>
      <c r="E158" s="11" t="s">
        <v>543</v>
      </c>
    </row>
    <row r="159" spans="2:5" x14ac:dyDescent="0.25">
      <c r="B159" s="8" t="s">
        <v>544</v>
      </c>
      <c r="C159" s="10" t="s">
        <v>549</v>
      </c>
      <c r="D159" s="10" t="s">
        <v>503</v>
      </c>
      <c r="E159" s="11" t="s">
        <v>543</v>
      </c>
    </row>
    <row r="160" spans="2:5" x14ac:dyDescent="0.25">
      <c r="B160" s="8" t="s">
        <v>546</v>
      </c>
      <c r="C160" s="10" t="s">
        <v>547</v>
      </c>
      <c r="D160" s="10" t="s">
        <v>503</v>
      </c>
      <c r="E160" s="11" t="s">
        <v>543</v>
      </c>
    </row>
    <row r="161" spans="2:5" x14ac:dyDescent="0.25">
      <c r="B161" s="8" t="s">
        <v>546</v>
      </c>
      <c r="C161" s="10" t="s">
        <v>548</v>
      </c>
      <c r="D161" s="10" t="s">
        <v>503</v>
      </c>
      <c r="E161" s="11" t="s">
        <v>543</v>
      </c>
    </row>
    <row r="162" spans="2:5" x14ac:dyDescent="0.25">
      <c r="B162" s="8" t="s">
        <v>546</v>
      </c>
      <c r="C162" s="10" t="s">
        <v>667</v>
      </c>
      <c r="D162" s="10" t="s">
        <v>503</v>
      </c>
      <c r="E162" s="11" t="s">
        <v>543</v>
      </c>
    </row>
    <row r="163" spans="2:5" x14ac:dyDescent="0.25">
      <c r="B163" s="8" t="s">
        <v>546</v>
      </c>
      <c r="C163" s="10" t="s">
        <v>545</v>
      </c>
      <c r="D163" s="10" t="s">
        <v>503</v>
      </c>
      <c r="E163" s="11" t="s">
        <v>358</v>
      </c>
    </row>
    <row r="164" spans="2:5" x14ac:dyDescent="0.25">
      <c r="B164" s="8" t="s">
        <v>533</v>
      </c>
      <c r="C164" s="10" t="s">
        <v>668</v>
      </c>
      <c r="D164" s="10" t="s">
        <v>503</v>
      </c>
      <c r="E164" s="11" t="s">
        <v>358</v>
      </c>
    </row>
    <row r="165" spans="2:5" x14ac:dyDescent="0.25">
      <c r="B165" s="8" t="s">
        <v>672</v>
      </c>
      <c r="C165" s="10" t="s">
        <v>669</v>
      </c>
      <c r="D165" s="10" t="s">
        <v>153</v>
      </c>
      <c r="E165" s="11" t="s">
        <v>671</v>
      </c>
    </row>
    <row r="166" spans="2:5" x14ac:dyDescent="0.25">
      <c r="B166" s="8" t="s">
        <v>672</v>
      </c>
      <c r="C166" s="10" t="s">
        <v>670</v>
      </c>
      <c r="D166" s="10" t="s">
        <v>153</v>
      </c>
      <c r="E166" s="11" t="s">
        <v>671</v>
      </c>
    </row>
    <row r="167" spans="2:5" x14ac:dyDescent="0.25">
      <c r="B167" s="8" t="s">
        <v>673</v>
      </c>
      <c r="C167" s="10" t="s">
        <v>674</v>
      </c>
      <c r="D167" s="10" t="s">
        <v>503</v>
      </c>
      <c r="E167" s="11" t="s">
        <v>428</v>
      </c>
    </row>
    <row r="168" spans="2:5" x14ac:dyDescent="0.25">
      <c r="B168" s="8" t="s">
        <v>676</v>
      </c>
      <c r="C168" s="10" t="s">
        <v>675</v>
      </c>
      <c r="D168" s="10" t="s">
        <v>503</v>
      </c>
      <c r="E168" s="11" t="s">
        <v>428</v>
      </c>
    </row>
    <row r="169" spans="2:5" x14ac:dyDescent="0.25">
      <c r="B169" s="8" t="s">
        <v>679</v>
      </c>
      <c r="C169" s="26" t="s">
        <v>678</v>
      </c>
      <c r="D169" s="10" t="s">
        <v>153</v>
      </c>
      <c r="E169" s="11" t="s">
        <v>677</v>
      </c>
    </row>
    <row r="170" spans="2:5" x14ac:dyDescent="0.25">
      <c r="B170" s="8" t="s">
        <v>537</v>
      </c>
      <c r="C170" s="10" t="s">
        <v>539</v>
      </c>
      <c r="D170" s="10" t="s">
        <v>503</v>
      </c>
      <c r="E170" s="11" t="s">
        <v>543</v>
      </c>
    </row>
    <row r="171" spans="2:5" x14ac:dyDescent="0.25">
      <c r="B171" s="8" t="s">
        <v>537</v>
      </c>
      <c r="C171" s="10" t="s">
        <v>541</v>
      </c>
      <c r="D171" s="10" t="s">
        <v>503</v>
      </c>
      <c r="E171" s="11" t="s">
        <v>543</v>
      </c>
    </row>
    <row r="172" spans="2:5" x14ac:dyDescent="0.25">
      <c r="B172" s="8" t="s">
        <v>537</v>
      </c>
      <c r="C172" s="10" t="s">
        <v>542</v>
      </c>
      <c r="D172" s="10" t="s">
        <v>503</v>
      </c>
      <c r="E172" s="11" t="s">
        <v>543</v>
      </c>
    </row>
    <row r="173" spans="2:5" x14ac:dyDescent="0.25">
      <c r="B173" s="8" t="s">
        <v>544</v>
      </c>
      <c r="C173" s="10" t="s">
        <v>549</v>
      </c>
      <c r="D173" s="10" t="s">
        <v>503</v>
      </c>
      <c r="E173" s="11" t="s">
        <v>543</v>
      </c>
    </row>
    <row r="174" spans="2:5" x14ac:dyDescent="0.25">
      <c r="B174" s="8" t="s">
        <v>546</v>
      </c>
      <c r="C174" s="10" t="s">
        <v>547</v>
      </c>
      <c r="D174" s="10" t="s">
        <v>503</v>
      </c>
      <c r="E174" s="11" t="s">
        <v>543</v>
      </c>
    </row>
    <row r="175" spans="2:5" x14ac:dyDescent="0.25">
      <c r="B175" s="8" t="s">
        <v>546</v>
      </c>
      <c r="C175" s="10" t="s">
        <v>548</v>
      </c>
      <c r="D175" s="10" t="s">
        <v>503</v>
      </c>
      <c r="E175" s="11" t="s">
        <v>543</v>
      </c>
    </row>
    <row r="176" spans="2:5" x14ac:dyDescent="0.25">
      <c r="B176" s="8" t="s">
        <v>546</v>
      </c>
      <c r="C176" s="10" t="s">
        <v>667</v>
      </c>
      <c r="D176" s="10" t="s">
        <v>503</v>
      </c>
      <c r="E176" s="11" t="s">
        <v>543</v>
      </c>
    </row>
    <row r="177" spans="2:5" x14ac:dyDescent="0.25">
      <c r="B177" s="8" t="s">
        <v>546</v>
      </c>
      <c r="C177" s="10" t="s">
        <v>545</v>
      </c>
      <c r="D177" s="10" t="s">
        <v>503</v>
      </c>
      <c r="E177" s="11" t="s">
        <v>358</v>
      </c>
    </row>
    <row r="178" spans="2:5" x14ac:dyDescent="0.25">
      <c r="B178" s="8" t="s">
        <v>533</v>
      </c>
      <c r="C178" s="10" t="s">
        <v>668</v>
      </c>
      <c r="D178" s="10" t="s">
        <v>503</v>
      </c>
      <c r="E178" s="11" t="s">
        <v>358</v>
      </c>
    </row>
    <row r="179" spans="2:5" x14ac:dyDescent="0.25">
      <c r="B179" s="8" t="s">
        <v>672</v>
      </c>
      <c r="C179" s="10" t="s">
        <v>669</v>
      </c>
      <c r="D179" s="10" t="s">
        <v>153</v>
      </c>
      <c r="E179" s="11" t="s">
        <v>671</v>
      </c>
    </row>
    <row r="180" spans="2:5" x14ac:dyDescent="0.25">
      <c r="B180" s="8" t="s">
        <v>672</v>
      </c>
      <c r="C180" s="10" t="s">
        <v>670</v>
      </c>
      <c r="D180" s="10" t="s">
        <v>153</v>
      </c>
      <c r="E180" s="11" t="s">
        <v>671</v>
      </c>
    </row>
    <row r="181" spans="2:5" x14ac:dyDescent="0.25">
      <c r="B181" s="8" t="s">
        <v>673</v>
      </c>
      <c r="C181" s="10" t="s">
        <v>674</v>
      </c>
      <c r="D181" s="10" t="s">
        <v>503</v>
      </c>
      <c r="E181" s="11" t="s">
        <v>428</v>
      </c>
    </row>
    <row r="182" spans="2:5" x14ac:dyDescent="0.25">
      <c r="B182" s="8" t="s">
        <v>676</v>
      </c>
      <c r="C182" s="10" t="s">
        <v>675</v>
      </c>
      <c r="D182" s="10" t="s">
        <v>503</v>
      </c>
      <c r="E182" s="11" t="s">
        <v>428</v>
      </c>
    </row>
    <row r="183" spans="2:5" x14ac:dyDescent="0.25">
      <c r="B183" s="8" t="s">
        <v>682</v>
      </c>
      <c r="C183" s="26" t="s">
        <v>678</v>
      </c>
      <c r="D183" s="10" t="s">
        <v>153</v>
      </c>
      <c r="E183" s="11" t="s">
        <v>677</v>
      </c>
    </row>
    <row r="184" spans="2:5" x14ac:dyDescent="0.25">
      <c r="B184" s="8" t="s">
        <v>683</v>
      </c>
      <c r="C184" s="10" t="s">
        <v>684</v>
      </c>
      <c r="D184" s="10" t="s">
        <v>685</v>
      </c>
      <c r="E184" s="11" t="s">
        <v>686</v>
      </c>
    </row>
    <row r="185" spans="2:5" x14ac:dyDescent="0.25">
      <c r="B185" s="8" t="s">
        <v>683</v>
      </c>
      <c r="C185" s="10" t="s">
        <v>680</v>
      </c>
      <c r="D185" s="10" t="s">
        <v>681</v>
      </c>
      <c r="E185" s="11" t="s">
        <v>523</v>
      </c>
    </row>
    <row r="186" spans="2:5" x14ac:dyDescent="0.25">
      <c r="B186" s="8" t="s">
        <v>683</v>
      </c>
      <c r="C186" s="10" t="s">
        <v>688</v>
      </c>
      <c r="D186" s="10" t="s">
        <v>681</v>
      </c>
      <c r="E186" s="11" t="s">
        <v>523</v>
      </c>
    </row>
    <row r="187" spans="2:5" x14ac:dyDescent="0.25">
      <c r="B187" s="8" t="s">
        <v>694</v>
      </c>
      <c r="C187" s="10" t="s">
        <v>692</v>
      </c>
      <c r="D187" s="10" t="s">
        <v>153</v>
      </c>
      <c r="E187" s="11" t="s">
        <v>677</v>
      </c>
    </row>
    <row r="188" spans="2:5" x14ac:dyDescent="0.25">
      <c r="B188" s="8" t="s">
        <v>694</v>
      </c>
      <c r="C188" s="10" t="s">
        <v>693</v>
      </c>
      <c r="D188" s="10" t="s">
        <v>153</v>
      </c>
      <c r="E188" s="11" t="s">
        <v>677</v>
      </c>
    </row>
    <row r="189" spans="2:5" x14ac:dyDescent="0.25">
      <c r="B189" s="8" t="s">
        <v>696</v>
      </c>
      <c r="C189" s="10" t="s">
        <v>697</v>
      </c>
      <c r="D189" s="10" t="s">
        <v>698</v>
      </c>
      <c r="E189" s="11" t="s">
        <v>699</v>
      </c>
    </row>
    <row r="190" spans="2:5" x14ac:dyDescent="0.25">
      <c r="B190" s="8" t="s">
        <v>696</v>
      </c>
      <c r="C190" s="10" t="s">
        <v>700</v>
      </c>
      <c r="D190" s="10" t="s">
        <v>698</v>
      </c>
      <c r="E190" s="11" t="s">
        <v>699</v>
      </c>
    </row>
    <row r="191" spans="2:5" x14ac:dyDescent="0.25">
      <c r="B191" s="8" t="s">
        <v>705</v>
      </c>
      <c r="C191" s="10" t="s">
        <v>702</v>
      </c>
      <c r="D191" s="10" t="s">
        <v>153</v>
      </c>
      <c r="E191" s="11" t="s">
        <v>706</v>
      </c>
    </row>
    <row r="192" spans="2:5" x14ac:dyDescent="0.25">
      <c r="B192" s="8" t="s">
        <v>705</v>
      </c>
      <c r="C192" s="10" t="s">
        <v>703</v>
      </c>
      <c r="D192" s="10" t="s">
        <v>153</v>
      </c>
      <c r="E192" s="11" t="s">
        <v>706</v>
      </c>
    </row>
    <row r="193" spans="2:5" x14ac:dyDescent="0.25">
      <c r="B193" s="8" t="s">
        <v>705</v>
      </c>
      <c r="C193" s="10" t="s">
        <v>704</v>
      </c>
      <c r="D193" s="10" t="s">
        <v>153</v>
      </c>
      <c r="E193" s="11" t="s">
        <v>706</v>
      </c>
    </row>
    <row r="194" spans="2:5" x14ac:dyDescent="0.25">
      <c r="B194" s="8" t="s">
        <v>707</v>
      </c>
      <c r="C194" s="10" t="s">
        <v>709</v>
      </c>
      <c r="D194" s="10" t="s">
        <v>698</v>
      </c>
      <c r="E194" s="11" t="s">
        <v>710</v>
      </c>
    </row>
    <row r="195" spans="2:5" x14ac:dyDescent="0.25">
      <c r="B195" s="8" t="s">
        <v>707</v>
      </c>
      <c r="C195" s="10" t="s">
        <v>711</v>
      </c>
      <c r="D195" s="10" t="s">
        <v>698</v>
      </c>
      <c r="E195" s="11" t="s">
        <v>710</v>
      </c>
    </row>
    <row r="197" spans="2:5" x14ac:dyDescent="0.25">
      <c r="B197" s="8" t="s">
        <v>714</v>
      </c>
      <c r="C197" s="10" t="s">
        <v>715</v>
      </c>
      <c r="D197" s="10" t="s">
        <v>698</v>
      </c>
      <c r="E197" s="11" t="s">
        <v>716</v>
      </c>
    </row>
    <row r="198" spans="2:5" x14ac:dyDescent="0.25">
      <c r="B198" s="8" t="s">
        <v>721</v>
      </c>
      <c r="C198" s="10" t="s">
        <v>718</v>
      </c>
      <c r="D198" s="10" t="s">
        <v>153</v>
      </c>
      <c r="E198" s="11" t="s">
        <v>671</v>
      </c>
    </row>
    <row r="199" spans="2:5" x14ac:dyDescent="0.25">
      <c r="B199" s="8" t="s">
        <v>721</v>
      </c>
      <c r="C199" s="10" t="s">
        <v>719</v>
      </c>
      <c r="D199" s="10" t="s">
        <v>153</v>
      </c>
      <c r="E199" s="11" t="s">
        <v>671</v>
      </c>
    </row>
    <row r="200" spans="2:5" x14ac:dyDescent="0.25">
      <c r="B200" s="8" t="s">
        <v>721</v>
      </c>
      <c r="C200" s="10" t="s">
        <v>720</v>
      </c>
      <c r="D200" s="10" t="s">
        <v>153</v>
      </c>
      <c r="E200" s="11" t="s">
        <v>671</v>
      </c>
    </row>
    <row r="201" spans="2:5" x14ac:dyDescent="0.25">
      <c r="B201" s="8" t="s">
        <v>723</v>
      </c>
      <c r="C201" s="10" t="s">
        <v>722</v>
      </c>
      <c r="D201" s="10" t="s">
        <v>153</v>
      </c>
      <c r="E201" s="11" t="s">
        <v>724</v>
      </c>
    </row>
    <row r="202" spans="2:5" x14ac:dyDescent="0.25">
      <c r="B202" s="8" t="s">
        <v>726</v>
      </c>
      <c r="C202" s="10" t="s">
        <v>725</v>
      </c>
      <c r="D202" s="10" t="s">
        <v>153</v>
      </c>
      <c r="E202" s="11" t="s">
        <v>727</v>
      </c>
    </row>
    <row r="203" spans="2:5" x14ac:dyDescent="0.25">
      <c r="B203" s="8" t="s">
        <v>729</v>
      </c>
      <c r="C203" s="10" t="s">
        <v>730</v>
      </c>
      <c r="D203" s="10" t="s">
        <v>698</v>
      </c>
      <c r="E203" s="11" t="s">
        <v>728</v>
      </c>
    </row>
    <row r="204" spans="2:5" x14ac:dyDescent="0.25">
      <c r="B204" s="8" t="s">
        <v>729</v>
      </c>
      <c r="C204" s="10" t="s">
        <v>731</v>
      </c>
      <c r="D204" s="10" t="s">
        <v>698</v>
      </c>
      <c r="E204" s="11" t="s">
        <v>728</v>
      </c>
    </row>
    <row r="205" spans="2:5" x14ac:dyDescent="0.25">
      <c r="B205" s="8" t="s">
        <v>729</v>
      </c>
      <c r="C205" s="10" t="s">
        <v>732</v>
      </c>
      <c r="D205" s="10" t="s">
        <v>698</v>
      </c>
      <c r="E205" s="11" t="s">
        <v>728</v>
      </c>
    </row>
    <row r="206" spans="2:5" x14ac:dyDescent="0.25">
      <c r="B206" s="8" t="s">
        <v>729</v>
      </c>
      <c r="C206" s="10" t="s">
        <v>733</v>
      </c>
      <c r="D206" s="10" t="s">
        <v>698</v>
      </c>
      <c r="E206" s="11" t="s">
        <v>728</v>
      </c>
    </row>
    <row r="207" spans="2:5" x14ac:dyDescent="0.25">
      <c r="B207" s="8" t="s">
        <v>741</v>
      </c>
      <c r="C207" s="10" t="s">
        <v>735</v>
      </c>
      <c r="D207" s="10" t="s">
        <v>742</v>
      </c>
      <c r="E207" s="11" t="s">
        <v>740</v>
      </c>
    </row>
    <row r="208" spans="2:5" x14ac:dyDescent="0.25">
      <c r="B208" s="8" t="s">
        <v>741</v>
      </c>
      <c r="C208" s="10" t="s">
        <v>736</v>
      </c>
      <c r="D208" s="10" t="s">
        <v>742</v>
      </c>
      <c r="E208" s="11" t="s">
        <v>740</v>
      </c>
    </row>
    <row r="209" spans="2:5" x14ac:dyDescent="0.25">
      <c r="B209" s="8" t="s">
        <v>741</v>
      </c>
      <c r="C209" s="10" t="s">
        <v>737</v>
      </c>
      <c r="D209" s="10" t="s">
        <v>742</v>
      </c>
      <c r="E209" s="11" t="s">
        <v>740</v>
      </c>
    </row>
    <row r="210" spans="2:5" x14ac:dyDescent="0.25">
      <c r="B210" s="8" t="s">
        <v>741</v>
      </c>
      <c r="C210" s="10" t="s">
        <v>738</v>
      </c>
      <c r="D210" s="10" t="s">
        <v>742</v>
      </c>
      <c r="E210" s="11" t="s">
        <v>740</v>
      </c>
    </row>
    <row r="211" spans="2:5" x14ac:dyDescent="0.25">
      <c r="B211" s="8" t="s">
        <v>741</v>
      </c>
      <c r="C211" s="10" t="s">
        <v>739</v>
      </c>
      <c r="D211" s="10" t="s">
        <v>742</v>
      </c>
      <c r="E211" s="11" t="s">
        <v>740</v>
      </c>
    </row>
    <row r="212" spans="2:5" x14ac:dyDescent="0.25">
      <c r="B212" s="8" t="s">
        <v>743</v>
      </c>
      <c r="C212" s="10" t="s">
        <v>744</v>
      </c>
      <c r="D212" s="10" t="s">
        <v>742</v>
      </c>
      <c r="E212" s="11" t="s">
        <v>428</v>
      </c>
    </row>
    <row r="213" spans="2:5" x14ac:dyDescent="0.25">
      <c r="B213" s="8" t="s">
        <v>759</v>
      </c>
      <c r="C213" s="10" t="s">
        <v>762</v>
      </c>
      <c r="D213" s="10" t="s">
        <v>760</v>
      </c>
      <c r="E213" s="11" t="s">
        <v>761</v>
      </c>
    </row>
    <row r="214" spans="2:5" x14ac:dyDescent="0.25">
      <c r="B214" s="8" t="s">
        <v>759</v>
      </c>
      <c r="C214" s="10" t="s">
        <v>763</v>
      </c>
      <c r="D214" s="10" t="s">
        <v>760</v>
      </c>
      <c r="E214" s="11" t="s">
        <v>761</v>
      </c>
    </row>
    <row r="215" spans="2:5" x14ac:dyDescent="0.25">
      <c r="B215" s="8" t="s">
        <v>759</v>
      </c>
      <c r="C215" s="10" t="s">
        <v>764</v>
      </c>
      <c r="D215" s="10" t="s">
        <v>760</v>
      </c>
      <c r="E215" s="11" t="s">
        <v>761</v>
      </c>
    </row>
    <row r="216" spans="2:5" x14ac:dyDescent="0.25">
      <c r="B216" s="8" t="s">
        <v>759</v>
      </c>
      <c r="C216" s="10" t="s">
        <v>765</v>
      </c>
      <c r="D216" s="10" t="s">
        <v>760</v>
      </c>
      <c r="E216" s="11" t="s">
        <v>761</v>
      </c>
    </row>
    <row r="217" spans="2:5" x14ac:dyDescent="0.25">
      <c r="B217" s="8" t="s">
        <v>759</v>
      </c>
      <c r="C217" s="10" t="s">
        <v>766</v>
      </c>
      <c r="D217" s="10" t="s">
        <v>760</v>
      </c>
      <c r="E217" s="11" t="s">
        <v>761</v>
      </c>
    </row>
    <row r="218" spans="2:5" x14ac:dyDescent="0.25">
      <c r="B218" s="8" t="s">
        <v>759</v>
      </c>
      <c r="C218" s="10" t="s">
        <v>767</v>
      </c>
      <c r="D218" s="10" t="s">
        <v>760</v>
      </c>
      <c r="E218" s="11" t="s">
        <v>761</v>
      </c>
    </row>
    <row r="219" spans="2:5" x14ac:dyDescent="0.25">
      <c r="B219" s="8" t="s">
        <v>759</v>
      </c>
      <c r="C219" s="10" t="s">
        <v>768</v>
      </c>
      <c r="D219" s="10" t="s">
        <v>760</v>
      </c>
      <c r="E219" s="11" t="s">
        <v>761</v>
      </c>
    </row>
    <row r="220" spans="2:5" x14ac:dyDescent="0.25">
      <c r="B220" s="8" t="s">
        <v>759</v>
      </c>
      <c r="C220" s="10" t="s">
        <v>769</v>
      </c>
      <c r="D220" s="10" t="s">
        <v>760</v>
      </c>
      <c r="E220" s="11" t="s">
        <v>761</v>
      </c>
    </row>
    <row r="221" spans="2:5" x14ac:dyDescent="0.25">
      <c r="B221" s="8" t="s">
        <v>759</v>
      </c>
      <c r="C221" s="10" t="s">
        <v>770</v>
      </c>
      <c r="D221" s="10" t="s">
        <v>760</v>
      </c>
      <c r="E221" s="11" t="s">
        <v>761</v>
      </c>
    </row>
    <row r="222" spans="2:5" x14ac:dyDescent="0.25">
      <c r="B222" s="8" t="s">
        <v>759</v>
      </c>
      <c r="C222" s="10" t="s">
        <v>771</v>
      </c>
      <c r="D222" s="10" t="s">
        <v>760</v>
      </c>
      <c r="E222" s="11" t="s">
        <v>761</v>
      </c>
    </row>
    <row r="223" spans="2:5" x14ac:dyDescent="0.25">
      <c r="B223" s="8" t="s">
        <v>759</v>
      </c>
      <c r="C223" s="10" t="s">
        <v>781</v>
      </c>
      <c r="D223" s="10" t="s">
        <v>760</v>
      </c>
      <c r="E223" s="11" t="s">
        <v>761</v>
      </c>
    </row>
    <row r="224" spans="2:5" x14ac:dyDescent="0.25">
      <c r="B224" s="8" t="s">
        <v>782</v>
      </c>
      <c r="C224" s="10" t="s">
        <v>783</v>
      </c>
      <c r="D224" s="10" t="s">
        <v>760</v>
      </c>
      <c r="E224" s="11" t="s">
        <v>794</v>
      </c>
    </row>
    <row r="225" spans="2:5" x14ac:dyDescent="0.25">
      <c r="B225" s="8" t="s">
        <v>782</v>
      </c>
      <c r="C225" s="10" t="s">
        <v>784</v>
      </c>
      <c r="D225" s="10" t="s">
        <v>760</v>
      </c>
      <c r="E225" s="11" t="s">
        <v>794</v>
      </c>
    </row>
    <row r="226" spans="2:5" x14ac:dyDescent="0.25">
      <c r="B226" s="8" t="s">
        <v>782</v>
      </c>
      <c r="C226" s="10" t="s">
        <v>785</v>
      </c>
      <c r="D226" s="10" t="s">
        <v>760</v>
      </c>
      <c r="E226" s="11" t="s">
        <v>794</v>
      </c>
    </row>
    <row r="227" spans="2:5" x14ac:dyDescent="0.25">
      <c r="B227" s="8" t="s">
        <v>782</v>
      </c>
      <c r="C227" s="10" t="s">
        <v>786</v>
      </c>
      <c r="D227" s="10" t="s">
        <v>760</v>
      </c>
      <c r="E227" s="11" t="s">
        <v>794</v>
      </c>
    </row>
    <row r="228" spans="2:5" x14ac:dyDescent="0.25">
      <c r="B228" s="8" t="s">
        <v>782</v>
      </c>
      <c r="C228" s="10" t="s">
        <v>788</v>
      </c>
      <c r="D228" s="10" t="s">
        <v>760</v>
      </c>
      <c r="E228" s="11" t="s">
        <v>795</v>
      </c>
    </row>
    <row r="229" spans="2:5" x14ac:dyDescent="0.25">
      <c r="B229" s="8" t="s">
        <v>782</v>
      </c>
      <c r="C229" s="10" t="s">
        <v>787</v>
      </c>
      <c r="D229" s="10" t="s">
        <v>760</v>
      </c>
      <c r="E229" s="11" t="s">
        <v>795</v>
      </c>
    </row>
    <row r="230" spans="2:5" x14ac:dyDescent="0.25">
      <c r="B230" s="8" t="s">
        <v>782</v>
      </c>
      <c r="C230" s="10" t="s">
        <v>789</v>
      </c>
      <c r="D230" s="10" t="s">
        <v>760</v>
      </c>
      <c r="E230" s="11" t="s">
        <v>795</v>
      </c>
    </row>
    <row r="231" spans="2:5" x14ac:dyDescent="0.25">
      <c r="B231" s="8" t="s">
        <v>793</v>
      </c>
      <c r="C231" s="10" t="s">
        <v>791</v>
      </c>
      <c r="D231" s="10" t="s">
        <v>760</v>
      </c>
      <c r="E231" s="11" t="s">
        <v>796</v>
      </c>
    </row>
    <row r="232" spans="2:5" x14ac:dyDescent="0.25">
      <c r="B232" s="8" t="s">
        <v>793</v>
      </c>
      <c r="C232" s="10" t="s">
        <v>792</v>
      </c>
      <c r="D232" s="10" t="s">
        <v>760</v>
      </c>
      <c r="E232" s="11" t="s">
        <v>796</v>
      </c>
    </row>
    <row r="233" spans="2:5" x14ac:dyDescent="0.25">
      <c r="B233" s="8" t="s">
        <v>793</v>
      </c>
      <c r="C233" s="10" t="s">
        <v>798</v>
      </c>
      <c r="D233" s="10" t="s">
        <v>760</v>
      </c>
      <c r="E233" s="11" t="s">
        <v>796</v>
      </c>
    </row>
    <row r="234" spans="2:5" x14ac:dyDescent="0.25">
      <c r="B234" s="8" t="s">
        <v>793</v>
      </c>
      <c r="C234" s="10" t="s">
        <v>799</v>
      </c>
      <c r="D234" s="10" t="s">
        <v>760</v>
      </c>
      <c r="E234" s="11" t="s">
        <v>796</v>
      </c>
    </row>
    <row r="235" spans="2:5" x14ac:dyDescent="0.25">
      <c r="B235" s="8" t="s">
        <v>793</v>
      </c>
      <c r="C235" s="10" t="s">
        <v>843</v>
      </c>
      <c r="D235" s="10" t="s">
        <v>760</v>
      </c>
      <c r="E235" s="11" t="s">
        <v>796</v>
      </c>
    </row>
    <row r="236" spans="2:5" x14ac:dyDescent="0.25">
      <c r="B236" s="8" t="s">
        <v>793</v>
      </c>
      <c r="C236" s="10" t="s">
        <v>800</v>
      </c>
      <c r="D236" s="10" t="s">
        <v>760</v>
      </c>
      <c r="E236" s="11" t="s">
        <v>796</v>
      </c>
    </row>
    <row r="237" spans="2:5" x14ac:dyDescent="0.25">
      <c r="B237" s="8" t="s">
        <v>793</v>
      </c>
      <c r="C237" s="10" t="s">
        <v>809</v>
      </c>
      <c r="D237" s="10" t="s">
        <v>760</v>
      </c>
      <c r="E237" s="11" t="s">
        <v>810</v>
      </c>
    </row>
    <row r="238" spans="2:5" x14ac:dyDescent="0.25">
      <c r="B238" s="8" t="s">
        <v>793</v>
      </c>
      <c r="C238" s="10" t="s">
        <v>812</v>
      </c>
      <c r="D238" s="10" t="s">
        <v>760</v>
      </c>
      <c r="E238" s="11" t="s">
        <v>810</v>
      </c>
    </row>
    <row r="239" spans="2:5" x14ac:dyDescent="0.25">
      <c r="B239" s="8" t="s">
        <v>811</v>
      </c>
      <c r="C239" s="10" t="s">
        <v>814</v>
      </c>
      <c r="D239" s="10" t="s">
        <v>760</v>
      </c>
      <c r="E239" s="11" t="s">
        <v>816</v>
      </c>
    </row>
    <row r="240" spans="2:5" x14ac:dyDescent="0.25">
      <c r="B240" s="8" t="s">
        <v>811</v>
      </c>
      <c r="C240" s="10" t="s">
        <v>813</v>
      </c>
      <c r="D240" s="10" t="s">
        <v>760</v>
      </c>
      <c r="E240" s="11" t="s">
        <v>816</v>
      </c>
    </row>
    <row r="241" spans="2:5" x14ac:dyDescent="0.25">
      <c r="B241" s="8" t="s">
        <v>811</v>
      </c>
      <c r="C241" s="10" t="s">
        <v>815</v>
      </c>
      <c r="D241" s="10" t="s">
        <v>760</v>
      </c>
      <c r="E241" s="11" t="s">
        <v>816</v>
      </c>
    </row>
    <row r="242" spans="2:5" x14ac:dyDescent="0.25">
      <c r="B242" s="8" t="s">
        <v>811</v>
      </c>
      <c r="C242" s="10" t="s">
        <v>817</v>
      </c>
      <c r="D242" s="10" t="s">
        <v>760</v>
      </c>
      <c r="E242" s="11" t="s">
        <v>816</v>
      </c>
    </row>
    <row r="243" spans="2:5" x14ac:dyDescent="0.25">
      <c r="B243" s="8" t="s">
        <v>811</v>
      </c>
      <c r="C243" s="10" t="s">
        <v>818</v>
      </c>
      <c r="D243" s="10" t="s">
        <v>760</v>
      </c>
      <c r="E243" s="11" t="s">
        <v>816</v>
      </c>
    </row>
    <row r="244" spans="2:5" x14ac:dyDescent="0.25">
      <c r="B244" s="8" t="s">
        <v>811</v>
      </c>
      <c r="C244" s="10" t="s">
        <v>819</v>
      </c>
      <c r="D244" s="10" t="s">
        <v>760</v>
      </c>
      <c r="E244" s="11" t="s">
        <v>816</v>
      </c>
    </row>
    <row r="245" spans="2:5" x14ac:dyDescent="0.25">
      <c r="B245" s="8" t="s">
        <v>811</v>
      </c>
      <c r="C245" s="10" t="s">
        <v>820</v>
      </c>
      <c r="D245" s="10" t="s">
        <v>760</v>
      </c>
      <c r="E245" s="11" t="s">
        <v>816</v>
      </c>
    </row>
    <row r="246" spans="2:5" x14ac:dyDescent="0.25">
      <c r="B246" s="8" t="s">
        <v>840</v>
      </c>
      <c r="C246" s="10" t="s">
        <v>841</v>
      </c>
      <c r="D246" s="10" t="s">
        <v>760</v>
      </c>
      <c r="E246" s="11" t="s">
        <v>853</v>
      </c>
    </row>
    <row r="247" spans="2:5" x14ac:dyDescent="0.25">
      <c r="B247" s="8" t="s">
        <v>840</v>
      </c>
      <c r="C247" s="10" t="s">
        <v>842</v>
      </c>
      <c r="D247" s="10" t="s">
        <v>760</v>
      </c>
      <c r="E247" s="11" t="s">
        <v>853</v>
      </c>
    </row>
    <row r="248" spans="2:5" x14ac:dyDescent="0.25">
      <c r="B248" s="8" t="s">
        <v>840</v>
      </c>
      <c r="C248" s="10" t="s">
        <v>844</v>
      </c>
      <c r="D248" s="10" t="s">
        <v>760</v>
      </c>
      <c r="E248" s="11" t="s">
        <v>853</v>
      </c>
    </row>
    <row r="249" spans="2:5" x14ac:dyDescent="0.25">
      <c r="B249" s="8" t="s">
        <v>840</v>
      </c>
      <c r="C249" s="10" t="s">
        <v>845</v>
      </c>
      <c r="D249" s="10" t="s">
        <v>760</v>
      </c>
      <c r="E249" s="11" t="s">
        <v>853</v>
      </c>
    </row>
    <row r="250" spans="2:5" x14ac:dyDescent="0.25">
      <c r="B250" s="8" t="s">
        <v>840</v>
      </c>
      <c r="C250" s="10" t="s">
        <v>846</v>
      </c>
      <c r="D250" s="10" t="s">
        <v>760</v>
      </c>
      <c r="E250" s="11" t="s">
        <v>853</v>
      </c>
    </row>
    <row r="251" spans="2:5" x14ac:dyDescent="0.25">
      <c r="B251" s="8" t="s">
        <v>840</v>
      </c>
      <c r="C251" s="10" t="s">
        <v>847</v>
      </c>
      <c r="D251" s="10" t="s">
        <v>760</v>
      </c>
      <c r="E251" s="11" t="s">
        <v>853</v>
      </c>
    </row>
    <row r="252" spans="2:5" x14ac:dyDescent="0.25">
      <c r="B252" s="8" t="s">
        <v>840</v>
      </c>
      <c r="C252" s="10" t="s">
        <v>848</v>
      </c>
      <c r="D252" s="10" t="s">
        <v>760</v>
      </c>
      <c r="E252" s="11" t="s">
        <v>853</v>
      </c>
    </row>
    <row r="253" spans="2:5" x14ac:dyDescent="0.25">
      <c r="B253" s="8" t="s">
        <v>840</v>
      </c>
      <c r="C253" s="10" t="s">
        <v>849</v>
      </c>
      <c r="D253" s="10" t="s">
        <v>760</v>
      </c>
      <c r="E253" s="11" t="s">
        <v>853</v>
      </c>
    </row>
    <row r="254" spans="2:5" x14ac:dyDescent="0.25">
      <c r="B254" s="8" t="s">
        <v>840</v>
      </c>
      <c r="C254" s="10" t="s">
        <v>850</v>
      </c>
      <c r="D254" s="10" t="s">
        <v>760</v>
      </c>
      <c r="E254" s="11" t="s">
        <v>853</v>
      </c>
    </row>
    <row r="255" spans="2:5" x14ac:dyDescent="0.25">
      <c r="B255" s="8" t="s">
        <v>840</v>
      </c>
      <c r="C255" s="10" t="s">
        <v>852</v>
      </c>
      <c r="D255" s="10" t="s">
        <v>760</v>
      </c>
      <c r="E255" s="11" t="s">
        <v>853</v>
      </c>
    </row>
    <row r="256" spans="2:5" x14ac:dyDescent="0.25">
      <c r="B256" s="8" t="s">
        <v>840</v>
      </c>
      <c r="C256" s="10" t="s">
        <v>851</v>
      </c>
      <c r="D256" s="10" t="s">
        <v>760</v>
      </c>
      <c r="E256" s="11" t="s">
        <v>853</v>
      </c>
    </row>
    <row r="257" spans="2:5" x14ac:dyDescent="0.25">
      <c r="B257" s="8" t="s">
        <v>840</v>
      </c>
      <c r="C257" s="10" t="s">
        <v>854</v>
      </c>
      <c r="D257" s="10" t="s">
        <v>760</v>
      </c>
      <c r="E257" s="11" t="s">
        <v>853</v>
      </c>
    </row>
    <row r="258" spans="2:5" x14ac:dyDescent="0.25">
      <c r="B258" s="8" t="s">
        <v>840</v>
      </c>
      <c r="C258" s="10" t="s">
        <v>855</v>
      </c>
      <c r="D258" s="10" t="s">
        <v>760</v>
      </c>
      <c r="E258" s="11" t="s">
        <v>853</v>
      </c>
    </row>
    <row r="259" spans="2:5" x14ac:dyDescent="0.25">
      <c r="B259" s="8" t="s">
        <v>840</v>
      </c>
      <c r="C259" s="10" t="s">
        <v>856</v>
      </c>
      <c r="D259" s="10" t="s">
        <v>760</v>
      </c>
      <c r="E259" s="11" t="s">
        <v>853</v>
      </c>
    </row>
    <row r="260" spans="2:5" x14ac:dyDescent="0.25">
      <c r="B260" s="8" t="s">
        <v>840</v>
      </c>
      <c r="C260" s="10" t="s">
        <v>857</v>
      </c>
      <c r="D260" s="10" t="s">
        <v>760</v>
      </c>
      <c r="E260" s="11" t="s">
        <v>853</v>
      </c>
    </row>
    <row r="261" spans="2:5" x14ac:dyDescent="0.25">
      <c r="B261" s="8" t="s">
        <v>840</v>
      </c>
      <c r="C261" s="10" t="s">
        <v>858</v>
      </c>
      <c r="D261" s="10" t="s">
        <v>760</v>
      </c>
      <c r="E261" s="11" t="s">
        <v>853</v>
      </c>
    </row>
    <row r="262" spans="2:5" x14ac:dyDescent="0.25">
      <c r="B262" s="8" t="s">
        <v>840</v>
      </c>
      <c r="C262" s="10" t="s">
        <v>859</v>
      </c>
      <c r="D262" s="10" t="s">
        <v>760</v>
      </c>
      <c r="E262" s="11" t="s">
        <v>853</v>
      </c>
    </row>
    <row r="263" spans="2:5" x14ac:dyDescent="0.25">
      <c r="B263" s="8" t="s">
        <v>840</v>
      </c>
      <c r="C263" s="10" t="s">
        <v>860</v>
      </c>
      <c r="D263" s="10" t="s">
        <v>760</v>
      </c>
      <c r="E263" s="11" t="s">
        <v>853</v>
      </c>
    </row>
    <row r="264" spans="2:5" x14ac:dyDescent="0.25">
      <c r="B264" s="8" t="s">
        <v>840</v>
      </c>
      <c r="C264" s="10" t="s">
        <v>861</v>
      </c>
      <c r="D264" s="10" t="s">
        <v>760</v>
      </c>
      <c r="E264" s="11" t="s">
        <v>853</v>
      </c>
    </row>
    <row r="265" spans="2:5" x14ac:dyDescent="0.25">
      <c r="B265" s="8" t="s">
        <v>840</v>
      </c>
      <c r="C265" s="10" t="s">
        <v>862</v>
      </c>
      <c r="D265" s="10" t="s">
        <v>760</v>
      </c>
      <c r="E265" s="11" t="s">
        <v>853</v>
      </c>
    </row>
    <row r="266" spans="2:5" x14ac:dyDescent="0.25">
      <c r="B266" s="8" t="s">
        <v>840</v>
      </c>
      <c r="C266" s="10" t="s">
        <v>863</v>
      </c>
      <c r="D266" s="10" t="s">
        <v>760</v>
      </c>
      <c r="E266" s="11" t="s">
        <v>853</v>
      </c>
    </row>
    <row r="267" spans="2:5" x14ac:dyDescent="0.25">
      <c r="B267" s="8" t="s">
        <v>840</v>
      </c>
      <c r="C267" s="10" t="s">
        <v>864</v>
      </c>
      <c r="D267" s="10" t="s">
        <v>760</v>
      </c>
      <c r="E267" s="11" t="s">
        <v>853</v>
      </c>
    </row>
    <row r="268" spans="2:5" x14ac:dyDescent="0.25">
      <c r="B268" s="8" t="s">
        <v>840</v>
      </c>
      <c r="C268" s="10" t="s">
        <v>865</v>
      </c>
      <c r="D268" s="10" t="s">
        <v>760</v>
      </c>
      <c r="E268" s="11" t="s">
        <v>866</v>
      </c>
    </row>
    <row r="269" spans="2:5" x14ac:dyDescent="0.25">
      <c r="B269" s="8" t="s">
        <v>877</v>
      </c>
      <c r="C269" s="10" t="s">
        <v>878</v>
      </c>
      <c r="D269" s="10" t="s">
        <v>760</v>
      </c>
      <c r="E269" s="11" t="s">
        <v>879</v>
      </c>
    </row>
    <row r="270" spans="2:5" x14ac:dyDescent="0.25">
      <c r="B270" s="8" t="s">
        <v>877</v>
      </c>
      <c r="C270" s="10" t="s">
        <v>880</v>
      </c>
      <c r="D270" s="10" t="s">
        <v>760</v>
      </c>
      <c r="E270" s="11" t="s">
        <v>879</v>
      </c>
    </row>
    <row r="271" spans="2:5" x14ac:dyDescent="0.25">
      <c r="B271" s="8" t="s">
        <v>877</v>
      </c>
      <c r="C271" s="10" t="s">
        <v>885</v>
      </c>
      <c r="D271" s="10" t="s">
        <v>760</v>
      </c>
      <c r="E271" s="11" t="s">
        <v>879</v>
      </c>
    </row>
    <row r="272" spans="2:5" x14ac:dyDescent="0.25">
      <c r="B272" s="8" t="s">
        <v>877</v>
      </c>
      <c r="C272" s="10" t="s">
        <v>886</v>
      </c>
      <c r="D272" s="10" t="s">
        <v>760</v>
      </c>
      <c r="E272" s="11" t="s">
        <v>879</v>
      </c>
    </row>
    <row r="273" spans="2:5" x14ac:dyDescent="0.25">
      <c r="B273" s="8" t="s">
        <v>877</v>
      </c>
      <c r="C273" s="10" t="s">
        <v>887</v>
      </c>
      <c r="D273" s="10" t="s">
        <v>760</v>
      </c>
      <c r="E273" s="11" t="s">
        <v>879</v>
      </c>
    </row>
    <row r="274" spans="2:5" x14ac:dyDescent="0.25">
      <c r="B274" s="8" t="s">
        <v>877</v>
      </c>
      <c r="C274" s="10" t="s">
        <v>888</v>
      </c>
      <c r="D274" s="10" t="s">
        <v>760</v>
      </c>
      <c r="E274" s="11" t="s">
        <v>879</v>
      </c>
    </row>
    <row r="275" spans="2:5" x14ac:dyDescent="0.25">
      <c r="B275" s="8" t="s">
        <v>877</v>
      </c>
      <c r="C275" s="10" t="s">
        <v>889</v>
      </c>
      <c r="D275" s="10" t="s">
        <v>760</v>
      </c>
      <c r="E275" s="11" t="s">
        <v>879</v>
      </c>
    </row>
    <row r="276" spans="2:5" x14ac:dyDescent="0.25">
      <c r="B276" s="8" t="s">
        <v>877</v>
      </c>
      <c r="C276" s="10" t="s">
        <v>890</v>
      </c>
      <c r="D276" s="10" t="s">
        <v>760</v>
      </c>
      <c r="E276" s="11" t="s">
        <v>879</v>
      </c>
    </row>
    <row r="277" spans="2:5" x14ac:dyDescent="0.25">
      <c r="B277" s="8" t="s">
        <v>877</v>
      </c>
      <c r="C277" s="10" t="s">
        <v>891</v>
      </c>
      <c r="D277" s="10" t="s">
        <v>760</v>
      </c>
      <c r="E277" s="11" t="s">
        <v>879</v>
      </c>
    </row>
    <row r="278" spans="2:5" x14ac:dyDescent="0.25">
      <c r="B278" s="8" t="s">
        <v>877</v>
      </c>
      <c r="C278" s="10" t="s">
        <v>892</v>
      </c>
      <c r="D278" s="10" t="s">
        <v>760</v>
      </c>
      <c r="E278" s="11" t="s">
        <v>879</v>
      </c>
    </row>
    <row r="279" spans="2:5" x14ac:dyDescent="0.25">
      <c r="B279" s="8" t="s">
        <v>895</v>
      </c>
      <c r="C279" s="10" t="s">
        <v>897</v>
      </c>
      <c r="D279" s="10" t="s">
        <v>760</v>
      </c>
      <c r="E279" s="11" t="s">
        <v>896</v>
      </c>
    </row>
    <row r="280" spans="2:5" x14ac:dyDescent="0.25">
      <c r="B280" s="8" t="s">
        <v>895</v>
      </c>
      <c r="C280" s="10" t="s">
        <v>898</v>
      </c>
      <c r="D280" s="10" t="s">
        <v>760</v>
      </c>
      <c r="E280" s="11" t="s">
        <v>896</v>
      </c>
    </row>
    <row r="281" spans="2:5" x14ac:dyDescent="0.25">
      <c r="B281" s="8" t="s">
        <v>895</v>
      </c>
      <c r="C281" s="10" t="s">
        <v>899</v>
      </c>
      <c r="D281" s="10" t="s">
        <v>760</v>
      </c>
      <c r="E281" s="11" t="s">
        <v>896</v>
      </c>
    </row>
    <row r="282" spans="2:5" x14ac:dyDescent="0.25">
      <c r="B282" s="8" t="s">
        <v>895</v>
      </c>
      <c r="C282" s="10" t="s">
        <v>900</v>
      </c>
      <c r="D282" s="10" t="s">
        <v>760</v>
      </c>
      <c r="E282" s="11" t="s">
        <v>896</v>
      </c>
    </row>
    <row r="283" spans="2:5" x14ac:dyDescent="0.25">
      <c r="B283" s="8" t="s">
        <v>895</v>
      </c>
      <c r="C283" s="10" t="s">
        <v>903</v>
      </c>
      <c r="D283" s="10" t="s">
        <v>760</v>
      </c>
      <c r="E283" s="11" t="s">
        <v>896</v>
      </c>
    </row>
    <row r="284" spans="2:5" x14ac:dyDescent="0.25">
      <c r="B284" s="8" t="s">
        <v>895</v>
      </c>
      <c r="C284" s="10" t="s">
        <v>904</v>
      </c>
      <c r="D284" s="10" t="s">
        <v>760</v>
      </c>
      <c r="E284" s="11" t="s">
        <v>896</v>
      </c>
    </row>
    <row r="285" spans="2:5" x14ac:dyDescent="0.25">
      <c r="B285" s="8" t="s">
        <v>895</v>
      </c>
      <c r="C285" s="10" t="s">
        <v>905</v>
      </c>
      <c r="D285" s="10" t="s">
        <v>760</v>
      </c>
      <c r="E285" s="11" t="s">
        <v>896</v>
      </c>
    </row>
    <row r="286" spans="2:5" x14ac:dyDescent="0.25">
      <c r="B286" s="8" t="s">
        <v>895</v>
      </c>
      <c r="C286" s="10" t="s">
        <v>906</v>
      </c>
      <c r="D286" s="10" t="s">
        <v>760</v>
      </c>
      <c r="E286" s="11" t="s">
        <v>896</v>
      </c>
    </row>
    <row r="287" spans="2:5" x14ac:dyDescent="0.25">
      <c r="B287" s="8" t="s">
        <v>895</v>
      </c>
      <c r="C287" s="10" t="s">
        <v>907</v>
      </c>
      <c r="D287" s="10" t="s">
        <v>760</v>
      </c>
      <c r="E287" s="11" t="s">
        <v>896</v>
      </c>
    </row>
    <row r="288" spans="2:5" x14ac:dyDescent="0.25">
      <c r="B288" s="8" t="s">
        <v>895</v>
      </c>
      <c r="C288" s="10" t="s">
        <v>908</v>
      </c>
      <c r="D288" s="10" t="s">
        <v>760</v>
      </c>
      <c r="E288" s="11" t="s">
        <v>896</v>
      </c>
    </row>
    <row r="289" spans="2:5" x14ac:dyDescent="0.25">
      <c r="B289" s="8" t="s">
        <v>895</v>
      </c>
      <c r="C289" s="10" t="s">
        <v>909</v>
      </c>
      <c r="D289" s="10" t="s">
        <v>760</v>
      </c>
      <c r="E289" s="11" t="s">
        <v>896</v>
      </c>
    </row>
    <row r="290" spans="2:5" x14ac:dyDescent="0.25">
      <c r="B290" s="8" t="s">
        <v>895</v>
      </c>
      <c r="C290" s="10" t="s">
        <v>910</v>
      </c>
      <c r="D290" s="10" t="s">
        <v>760</v>
      </c>
      <c r="E290" s="11" t="s">
        <v>896</v>
      </c>
    </row>
    <row r="291" spans="2:5" x14ac:dyDescent="0.25">
      <c r="B291" s="8" t="s">
        <v>895</v>
      </c>
      <c r="C291" s="10" t="s">
        <v>911</v>
      </c>
      <c r="D291" s="10" t="s">
        <v>760</v>
      </c>
      <c r="E291" s="11" t="s">
        <v>896</v>
      </c>
    </row>
    <row r="292" spans="2:5" x14ac:dyDescent="0.25">
      <c r="B292" s="8" t="s">
        <v>895</v>
      </c>
      <c r="C292" s="10" t="s">
        <v>912</v>
      </c>
      <c r="D292" s="10" t="s">
        <v>760</v>
      </c>
      <c r="E292" s="11" t="s">
        <v>896</v>
      </c>
    </row>
    <row r="293" spans="2:5" x14ac:dyDescent="0.25">
      <c r="B293" s="8" t="s">
        <v>895</v>
      </c>
      <c r="C293" s="10" t="s">
        <v>913</v>
      </c>
      <c r="D293" s="10" t="s">
        <v>760</v>
      </c>
      <c r="E293" s="11" t="s">
        <v>896</v>
      </c>
    </row>
    <row r="294" spans="2:5" x14ac:dyDescent="0.25">
      <c r="B294" s="8" t="s">
        <v>895</v>
      </c>
      <c r="C294" s="10" t="s">
        <v>914</v>
      </c>
      <c r="D294" s="10" t="s">
        <v>760</v>
      </c>
      <c r="E294" s="11" t="s">
        <v>896</v>
      </c>
    </row>
    <row r="295" spans="2:5" x14ac:dyDescent="0.25">
      <c r="B295" s="8" t="s">
        <v>895</v>
      </c>
      <c r="C295" s="10" t="s">
        <v>916</v>
      </c>
      <c r="D295" s="10" t="s">
        <v>760</v>
      </c>
      <c r="E295" s="11" t="s">
        <v>915</v>
      </c>
    </row>
    <row r="296" spans="2:5" x14ac:dyDescent="0.25">
      <c r="B296" s="8" t="s">
        <v>895</v>
      </c>
      <c r="C296" s="10" t="s">
        <v>917</v>
      </c>
      <c r="D296" s="10" t="s">
        <v>760</v>
      </c>
      <c r="E296" s="11" t="s">
        <v>915</v>
      </c>
    </row>
    <row r="297" spans="2:5" x14ac:dyDescent="0.25">
      <c r="B297" s="8" t="s">
        <v>895</v>
      </c>
      <c r="C297" s="10" t="s">
        <v>918</v>
      </c>
      <c r="D297" s="10" t="s">
        <v>760</v>
      </c>
      <c r="E297" s="11" t="s">
        <v>915</v>
      </c>
    </row>
    <row r="298" spans="2:5" x14ac:dyDescent="0.25">
      <c r="B298" s="8" t="s">
        <v>921</v>
      </c>
      <c r="C298" s="10" t="s">
        <v>922</v>
      </c>
      <c r="D298" s="10" t="s">
        <v>760</v>
      </c>
      <c r="E298" s="11" t="s">
        <v>923</v>
      </c>
    </row>
    <row r="299" spans="2:5" x14ac:dyDescent="0.25">
      <c r="B299" s="8" t="s">
        <v>921</v>
      </c>
      <c r="C299" s="10" t="s">
        <v>924</v>
      </c>
      <c r="D299" s="10" t="s">
        <v>760</v>
      </c>
      <c r="E299" s="11" t="s">
        <v>923</v>
      </c>
    </row>
    <row r="300" spans="2:5" x14ac:dyDescent="0.25">
      <c r="B300" s="8" t="s">
        <v>921</v>
      </c>
      <c r="C300" s="10" t="s">
        <v>925</v>
      </c>
      <c r="D300" s="10" t="s">
        <v>760</v>
      </c>
      <c r="E300" s="11" t="s">
        <v>923</v>
      </c>
    </row>
    <row r="301" spans="2:5" x14ac:dyDescent="0.25">
      <c r="B301" s="8" t="s">
        <v>921</v>
      </c>
      <c r="C301" s="10" t="s">
        <v>926</v>
      </c>
      <c r="D301" s="10" t="s">
        <v>760</v>
      </c>
      <c r="E301" s="11" t="s">
        <v>923</v>
      </c>
    </row>
    <row r="302" spans="2:5" x14ac:dyDescent="0.25">
      <c r="B302" s="8" t="s">
        <v>921</v>
      </c>
      <c r="C302" s="10" t="s">
        <v>927</v>
      </c>
      <c r="D302" s="10" t="s">
        <v>760</v>
      </c>
      <c r="E302" s="11" t="s">
        <v>923</v>
      </c>
    </row>
    <row r="303" spans="2:5" x14ac:dyDescent="0.25">
      <c r="B303" s="8" t="s">
        <v>921</v>
      </c>
      <c r="C303" s="10" t="s">
        <v>928</v>
      </c>
      <c r="D303" s="10" t="s">
        <v>760</v>
      </c>
      <c r="E303" s="11" t="s">
        <v>923</v>
      </c>
    </row>
    <row r="304" spans="2:5" x14ac:dyDescent="0.25">
      <c r="B304" s="8" t="s">
        <v>921</v>
      </c>
      <c r="C304" s="10" t="s">
        <v>929</v>
      </c>
      <c r="D304" s="10" t="s">
        <v>760</v>
      </c>
      <c r="E304" s="11" t="s">
        <v>923</v>
      </c>
    </row>
    <row r="305" spans="2:5" x14ac:dyDescent="0.25">
      <c r="B305" s="8" t="s">
        <v>930</v>
      </c>
      <c r="C305" s="10" t="s">
        <v>931</v>
      </c>
      <c r="D305" s="10" t="s">
        <v>760</v>
      </c>
      <c r="E305" s="11" t="s">
        <v>938</v>
      </c>
    </row>
    <row r="306" spans="2:5" x14ac:dyDescent="0.25">
      <c r="B306" s="8" t="s">
        <v>930</v>
      </c>
      <c r="C306" s="10" t="s">
        <v>932</v>
      </c>
      <c r="D306" s="10" t="s">
        <v>760</v>
      </c>
      <c r="E306" s="11" t="s">
        <v>938</v>
      </c>
    </row>
    <row r="307" spans="2:5" x14ac:dyDescent="0.25">
      <c r="B307" s="8" t="s">
        <v>930</v>
      </c>
      <c r="C307" s="10" t="s">
        <v>933</v>
      </c>
      <c r="D307" s="10" t="s">
        <v>760</v>
      </c>
      <c r="E307" s="11" t="s">
        <v>938</v>
      </c>
    </row>
    <row r="308" spans="2:5" x14ac:dyDescent="0.25">
      <c r="B308" s="8" t="s">
        <v>930</v>
      </c>
      <c r="C308" s="10" t="s">
        <v>934</v>
      </c>
      <c r="D308" s="10" t="s">
        <v>760</v>
      </c>
      <c r="E308" s="11" t="s">
        <v>938</v>
      </c>
    </row>
    <row r="309" spans="2:5" x14ac:dyDescent="0.25">
      <c r="B309" s="8" t="s">
        <v>930</v>
      </c>
      <c r="C309" s="10" t="s">
        <v>935</v>
      </c>
      <c r="D309" s="10" t="s">
        <v>760</v>
      </c>
      <c r="E309" s="11" t="s">
        <v>938</v>
      </c>
    </row>
    <row r="310" spans="2:5" x14ac:dyDescent="0.25">
      <c r="B310" s="8" t="s">
        <v>930</v>
      </c>
      <c r="C310" s="10" t="s">
        <v>936</v>
      </c>
      <c r="D310" s="10" t="s">
        <v>760</v>
      </c>
      <c r="E310" s="11" t="s">
        <v>938</v>
      </c>
    </row>
    <row r="311" spans="2:5" x14ac:dyDescent="0.25">
      <c r="B311" s="8" t="s">
        <v>930</v>
      </c>
      <c r="C311" s="10" t="s">
        <v>937</v>
      </c>
      <c r="D311" s="10" t="s">
        <v>760</v>
      </c>
      <c r="E311" s="11" t="s">
        <v>938</v>
      </c>
    </row>
    <row r="312" spans="2:5" x14ac:dyDescent="0.25">
      <c r="B312" s="8" t="s">
        <v>939</v>
      </c>
      <c r="C312" s="10" t="s">
        <v>940</v>
      </c>
      <c r="D312" s="10" t="s">
        <v>760</v>
      </c>
      <c r="E312" s="11" t="s">
        <v>946</v>
      </c>
    </row>
    <row r="313" spans="2:5" x14ac:dyDescent="0.25">
      <c r="B313" s="8" t="s">
        <v>939</v>
      </c>
      <c r="C313" s="10" t="s">
        <v>941</v>
      </c>
      <c r="D313" s="10" t="s">
        <v>760</v>
      </c>
      <c r="E313" s="11" t="s">
        <v>946</v>
      </c>
    </row>
    <row r="314" spans="2:5" x14ac:dyDescent="0.25">
      <c r="B314" s="8" t="s">
        <v>939</v>
      </c>
      <c r="C314" s="10" t="s">
        <v>944</v>
      </c>
      <c r="D314" s="10" t="s">
        <v>760</v>
      </c>
      <c r="E314" s="11" t="s">
        <v>946</v>
      </c>
    </row>
    <row r="315" spans="2:5" x14ac:dyDescent="0.25">
      <c r="B315" s="8" t="s">
        <v>939</v>
      </c>
      <c r="C315" s="10" t="s">
        <v>945</v>
      </c>
      <c r="D315" s="10" t="s">
        <v>760</v>
      </c>
      <c r="E315" s="11" t="s">
        <v>946</v>
      </c>
    </row>
    <row r="316" spans="2:5" x14ac:dyDescent="0.25">
      <c r="B316" s="8" t="s">
        <v>939</v>
      </c>
      <c r="C316" s="10" t="s">
        <v>947</v>
      </c>
      <c r="D316" s="10" t="s">
        <v>760</v>
      </c>
      <c r="E316" s="11" t="s">
        <v>946</v>
      </c>
    </row>
    <row r="317" spans="2:5" x14ac:dyDescent="0.25">
      <c r="B317" s="8" t="s">
        <v>939</v>
      </c>
      <c r="C317" s="10" t="s">
        <v>949</v>
      </c>
      <c r="D317" s="10" t="s">
        <v>760</v>
      </c>
      <c r="E317" s="11" t="s">
        <v>948</v>
      </c>
    </row>
    <row r="318" spans="2:5" x14ac:dyDescent="0.25">
      <c r="B318" s="8" t="s">
        <v>939</v>
      </c>
      <c r="C318" s="10" t="s">
        <v>950</v>
      </c>
      <c r="D318" s="10" t="s">
        <v>760</v>
      </c>
      <c r="E318" s="11" t="s">
        <v>948</v>
      </c>
    </row>
    <row r="319" spans="2:5" x14ac:dyDescent="0.25">
      <c r="B319" s="8" t="s">
        <v>951</v>
      </c>
      <c r="C319" s="10" t="s">
        <v>952</v>
      </c>
      <c r="D319" s="10" t="s">
        <v>760</v>
      </c>
      <c r="E319" s="11" t="s">
        <v>954</v>
      </c>
    </row>
    <row r="320" spans="2:5" x14ac:dyDescent="0.25">
      <c r="B320" s="8" t="s">
        <v>951</v>
      </c>
      <c r="C320" s="10" t="s">
        <v>953</v>
      </c>
      <c r="D320" s="10" t="s">
        <v>760</v>
      </c>
      <c r="E320" s="11" t="s">
        <v>954</v>
      </c>
    </row>
    <row r="321" spans="2:5" x14ac:dyDescent="0.25">
      <c r="B321" s="8" t="s">
        <v>962</v>
      </c>
      <c r="C321" s="10" t="s">
        <v>963</v>
      </c>
      <c r="D321" s="10" t="s">
        <v>760</v>
      </c>
      <c r="E321" s="11" t="s">
        <v>961</v>
      </c>
    </row>
    <row r="322" spans="2:5" x14ac:dyDescent="0.25">
      <c r="B322" s="8" t="s">
        <v>962</v>
      </c>
      <c r="C322" s="10" t="s">
        <v>964</v>
      </c>
      <c r="D322" s="10" t="s">
        <v>760</v>
      </c>
      <c r="E322" s="11" t="s">
        <v>961</v>
      </c>
    </row>
    <row r="323" spans="2:5" x14ac:dyDescent="0.25">
      <c r="B323" s="8" t="s">
        <v>962</v>
      </c>
      <c r="C323" s="10" t="s">
        <v>966</v>
      </c>
      <c r="D323" s="10" t="s">
        <v>760</v>
      </c>
      <c r="E323" s="11" t="s">
        <v>961</v>
      </c>
    </row>
    <row r="324" spans="2:5" x14ac:dyDescent="0.25">
      <c r="B324" s="8" t="s">
        <v>962</v>
      </c>
      <c r="C324" s="10" t="s">
        <v>965</v>
      </c>
      <c r="D324" s="10" t="s">
        <v>760</v>
      </c>
      <c r="E324" s="11" t="s">
        <v>961</v>
      </c>
    </row>
    <row r="325" spans="2:5" x14ac:dyDescent="0.25">
      <c r="B325" s="8" t="s">
        <v>962</v>
      </c>
      <c r="C325" s="10" t="s">
        <v>967</v>
      </c>
      <c r="D325" s="10" t="s">
        <v>760</v>
      </c>
      <c r="E325" s="11" t="s">
        <v>961</v>
      </c>
    </row>
    <row r="326" spans="2:5" x14ac:dyDescent="0.25">
      <c r="B326" s="8" t="s">
        <v>962</v>
      </c>
      <c r="C326" s="10" t="s">
        <v>968</v>
      </c>
      <c r="D326" s="10" t="s">
        <v>760</v>
      </c>
      <c r="E326" s="11" t="s">
        <v>961</v>
      </c>
    </row>
    <row r="327" spans="2:5" x14ac:dyDescent="0.25">
      <c r="B327" s="8" t="s">
        <v>962</v>
      </c>
      <c r="C327" s="10" t="s">
        <v>969</v>
      </c>
      <c r="D327" s="10" t="s">
        <v>760</v>
      </c>
      <c r="E327" s="11" t="s">
        <v>961</v>
      </c>
    </row>
    <row r="328" spans="2:5" x14ac:dyDescent="0.25">
      <c r="B328" s="8" t="s">
        <v>962</v>
      </c>
      <c r="C328" s="10" t="s">
        <v>971</v>
      </c>
      <c r="D328" s="10" t="s">
        <v>760</v>
      </c>
      <c r="E328" s="11" t="s">
        <v>978</v>
      </c>
    </row>
    <row r="329" spans="2:5" x14ac:dyDescent="0.25">
      <c r="B329" s="8" t="s">
        <v>962</v>
      </c>
      <c r="C329" s="10" t="s">
        <v>972</v>
      </c>
      <c r="D329" s="10" t="s">
        <v>760</v>
      </c>
      <c r="E329" s="11" t="s">
        <v>978</v>
      </c>
    </row>
    <row r="330" spans="2:5" x14ac:dyDescent="0.25">
      <c r="B330" s="8" t="s">
        <v>962</v>
      </c>
      <c r="C330" s="10" t="s">
        <v>973</v>
      </c>
      <c r="D330" s="10" t="s">
        <v>760</v>
      </c>
      <c r="E330" s="11" t="s">
        <v>978</v>
      </c>
    </row>
    <row r="331" spans="2:5" x14ac:dyDescent="0.25">
      <c r="B331" s="8" t="s">
        <v>962</v>
      </c>
      <c r="C331" s="10" t="s">
        <v>974</v>
      </c>
      <c r="D331" s="10" t="s">
        <v>760</v>
      </c>
      <c r="E331" s="11" t="s">
        <v>978</v>
      </c>
    </row>
    <row r="332" spans="2:5" x14ac:dyDescent="0.25">
      <c r="B332" s="8" t="s">
        <v>962</v>
      </c>
      <c r="C332" s="10" t="s">
        <v>975</v>
      </c>
      <c r="D332" s="10" t="s">
        <v>760</v>
      </c>
      <c r="E332" s="11" t="s">
        <v>978</v>
      </c>
    </row>
    <row r="333" spans="2:5" x14ac:dyDescent="0.25">
      <c r="B333" s="8" t="s">
        <v>962</v>
      </c>
      <c r="C333" s="10" t="s">
        <v>976</v>
      </c>
      <c r="D333" s="10" t="s">
        <v>760</v>
      </c>
      <c r="E333" s="11" t="s">
        <v>978</v>
      </c>
    </row>
    <row r="334" spans="2:5" x14ac:dyDescent="0.25">
      <c r="B334" s="8" t="s">
        <v>962</v>
      </c>
      <c r="C334" s="10" t="s">
        <v>977</v>
      </c>
      <c r="D334" s="10" t="s">
        <v>760</v>
      </c>
      <c r="E334" s="11" t="s">
        <v>978</v>
      </c>
    </row>
    <row r="335" spans="2:5" x14ac:dyDescent="0.25">
      <c r="B335" s="8" t="s">
        <v>980</v>
      </c>
      <c r="C335" s="10" t="s">
        <v>981</v>
      </c>
      <c r="D335" s="10" t="s">
        <v>760</v>
      </c>
      <c r="E335" s="11" t="s">
        <v>984</v>
      </c>
    </row>
    <row r="336" spans="2:5" x14ac:dyDescent="0.25">
      <c r="B336" s="8" t="s">
        <v>980</v>
      </c>
      <c r="C336" s="10" t="s">
        <v>982</v>
      </c>
      <c r="D336" s="10" t="s">
        <v>760</v>
      </c>
      <c r="E336" s="11" t="s">
        <v>984</v>
      </c>
    </row>
    <row r="337" spans="2:5" x14ac:dyDescent="0.25">
      <c r="B337" s="8" t="s">
        <v>980</v>
      </c>
      <c r="C337" s="10" t="s">
        <v>983</v>
      </c>
      <c r="D337" s="10" t="s">
        <v>760</v>
      </c>
      <c r="E337" s="11" t="s">
        <v>984</v>
      </c>
    </row>
    <row r="338" spans="2:5" x14ac:dyDescent="0.25">
      <c r="B338" s="8" t="s">
        <v>980</v>
      </c>
      <c r="C338" s="10" t="s">
        <v>985</v>
      </c>
      <c r="D338" s="10" t="s">
        <v>760</v>
      </c>
      <c r="E338" s="11" t="s">
        <v>984</v>
      </c>
    </row>
    <row r="339" spans="2:5" x14ac:dyDescent="0.25">
      <c r="B339" s="8" t="s">
        <v>980</v>
      </c>
      <c r="C339" s="10" t="s">
        <v>986</v>
      </c>
      <c r="D339" s="10" t="s">
        <v>760</v>
      </c>
      <c r="E339" s="11" t="s">
        <v>987</v>
      </c>
    </row>
    <row r="340" spans="2:5" x14ac:dyDescent="0.25">
      <c r="B340" s="8" t="s">
        <v>988</v>
      </c>
      <c r="C340" s="10" t="s">
        <v>989</v>
      </c>
      <c r="D340" s="10" t="s">
        <v>760</v>
      </c>
      <c r="E340" s="11" t="s">
        <v>991</v>
      </c>
    </row>
    <row r="341" spans="2:5" x14ac:dyDescent="0.25">
      <c r="B341" s="8" t="s">
        <v>988</v>
      </c>
      <c r="C341" s="10" t="s">
        <v>990</v>
      </c>
      <c r="D341" s="10" t="s">
        <v>760</v>
      </c>
      <c r="E341" s="11" t="s">
        <v>991</v>
      </c>
    </row>
    <row r="342" spans="2:5" x14ac:dyDescent="0.25">
      <c r="B342" s="8" t="s">
        <v>988</v>
      </c>
      <c r="C342" s="10" t="s">
        <v>993</v>
      </c>
      <c r="D342" s="10" t="s">
        <v>698</v>
      </c>
      <c r="E342" s="11" t="s">
        <v>994</v>
      </c>
    </row>
    <row r="343" spans="2:5" x14ac:dyDescent="0.25">
      <c r="B343" s="8" t="s">
        <v>988</v>
      </c>
      <c r="C343" s="10" t="s">
        <v>996</v>
      </c>
      <c r="D343" s="10" t="s">
        <v>698</v>
      </c>
      <c r="E343" s="11" t="s">
        <v>994</v>
      </c>
    </row>
    <row r="344" spans="2:5" x14ac:dyDescent="0.25">
      <c r="B344" s="8" t="s">
        <v>988</v>
      </c>
      <c r="C344" s="10" t="s">
        <v>997</v>
      </c>
      <c r="D344" s="10" t="s">
        <v>698</v>
      </c>
      <c r="E344" s="11" t="s">
        <v>994</v>
      </c>
    </row>
    <row r="345" spans="2:5" ht="31.5" x14ac:dyDescent="0.25">
      <c r="B345" s="8" t="s">
        <v>988</v>
      </c>
      <c r="C345" s="26" t="s">
        <v>998</v>
      </c>
      <c r="D345" s="10" t="s">
        <v>698</v>
      </c>
      <c r="E345" s="11" t="s">
        <v>994</v>
      </c>
    </row>
    <row r="346" spans="2:5" ht="31.5" x14ac:dyDescent="0.25">
      <c r="B346" s="8" t="s">
        <v>988</v>
      </c>
      <c r="C346" s="26" t="s">
        <v>1002</v>
      </c>
      <c r="D346" s="10" t="s">
        <v>698</v>
      </c>
      <c r="E346" s="11" t="s">
        <v>994</v>
      </c>
    </row>
    <row r="347" spans="2:5" x14ac:dyDescent="0.25">
      <c r="B347" s="8" t="s">
        <v>988</v>
      </c>
      <c r="C347" s="10" t="s">
        <v>1000</v>
      </c>
      <c r="D347" s="10" t="s">
        <v>698</v>
      </c>
      <c r="E347" s="11" t="s">
        <v>1001</v>
      </c>
    </row>
    <row r="348" spans="2:5" x14ac:dyDescent="0.25">
      <c r="B348" s="8" t="s">
        <v>1012</v>
      </c>
      <c r="C348" s="10" t="s">
        <v>1013</v>
      </c>
      <c r="D348" s="10" t="s">
        <v>760</v>
      </c>
      <c r="E348" s="11" t="s">
        <v>1014</v>
      </c>
    </row>
    <row r="349" spans="2:5" x14ac:dyDescent="0.25">
      <c r="B349" s="8" t="s">
        <v>1012</v>
      </c>
      <c r="C349" s="10" t="s">
        <v>1015</v>
      </c>
      <c r="D349" s="10" t="s">
        <v>760</v>
      </c>
      <c r="E349" s="11" t="s">
        <v>1014</v>
      </c>
    </row>
    <row r="350" spans="2:5" x14ac:dyDescent="0.25">
      <c r="B350" s="8" t="s">
        <v>1033</v>
      </c>
      <c r="C350" s="10" t="s">
        <v>1034</v>
      </c>
      <c r="D350" s="10" t="s">
        <v>760</v>
      </c>
      <c r="E350" s="11" t="s">
        <v>1035</v>
      </c>
    </row>
    <row r="351" spans="2:5" x14ac:dyDescent="0.25">
      <c r="B351" s="8" t="s">
        <v>1036</v>
      </c>
      <c r="C351" s="10" t="s">
        <v>1037</v>
      </c>
      <c r="D351" s="10" t="s">
        <v>760</v>
      </c>
      <c r="E351" s="11" t="s">
        <v>1038</v>
      </c>
    </row>
    <row r="352" spans="2:5" x14ac:dyDescent="0.25">
      <c r="B352" s="8" t="s">
        <v>1039</v>
      </c>
      <c r="C352" s="10" t="s">
        <v>1040</v>
      </c>
      <c r="D352" s="10" t="s">
        <v>760</v>
      </c>
      <c r="E352" s="11" t="s">
        <v>1041</v>
      </c>
    </row>
    <row r="353" spans="2:5" x14ac:dyDescent="0.25">
      <c r="C353" s="10" t="s">
        <v>1045</v>
      </c>
    </row>
    <row r="354" spans="2:5" x14ac:dyDescent="0.25">
      <c r="C354" s="10" t="s">
        <v>1046</v>
      </c>
    </row>
    <row r="355" spans="2:5" x14ac:dyDescent="0.25">
      <c r="B355" s="8" t="s">
        <v>1054</v>
      </c>
      <c r="C355" s="10" t="s">
        <v>1059</v>
      </c>
      <c r="D355" s="10" t="s">
        <v>760</v>
      </c>
      <c r="E355" s="11" t="s">
        <v>1055</v>
      </c>
    </row>
    <row r="356" spans="2:5" x14ac:dyDescent="0.25">
      <c r="B356" s="8" t="s">
        <v>1054</v>
      </c>
      <c r="C356" s="10" t="s">
        <v>1060</v>
      </c>
      <c r="D356" s="10" t="s">
        <v>760</v>
      </c>
      <c r="E356" s="11" t="s">
        <v>1055</v>
      </c>
    </row>
    <row r="357" spans="2:5" x14ac:dyDescent="0.25">
      <c r="B357" s="8" t="s">
        <v>1058</v>
      </c>
      <c r="C357" s="10" t="s">
        <v>1061</v>
      </c>
      <c r="D357" s="10" t="s">
        <v>760</v>
      </c>
      <c r="E357" s="11" t="s">
        <v>1062</v>
      </c>
    </row>
    <row r="358" spans="2:5" x14ac:dyDescent="0.25">
      <c r="B358" s="8" t="s">
        <v>1058</v>
      </c>
      <c r="C358" s="10" t="s">
        <v>1063</v>
      </c>
      <c r="D358" s="10" t="s">
        <v>760</v>
      </c>
      <c r="E358" s="11" t="s">
        <v>1062</v>
      </c>
    </row>
    <row r="359" spans="2:5" x14ac:dyDescent="0.25">
      <c r="C359" s="10" t="s">
        <v>1071</v>
      </c>
    </row>
    <row r="360" spans="2:5" x14ac:dyDescent="0.25">
      <c r="C360" s="10" t="s">
        <v>1072</v>
      </c>
    </row>
    <row r="361" spans="2:5" x14ac:dyDescent="0.25">
      <c r="B361" s="8" t="s">
        <v>1074</v>
      </c>
      <c r="C361" s="10" t="s">
        <v>1075</v>
      </c>
      <c r="D361" s="10" t="s">
        <v>760</v>
      </c>
      <c r="E361" s="11" t="s">
        <v>1076</v>
      </c>
    </row>
    <row r="362" spans="2:5" x14ac:dyDescent="0.25">
      <c r="C362" s="10" t="s">
        <v>1085</v>
      </c>
    </row>
    <row r="363" spans="2:5" x14ac:dyDescent="0.25">
      <c r="C363" s="10" t="s">
        <v>1086</v>
      </c>
    </row>
    <row r="364" spans="2:5" x14ac:dyDescent="0.25">
      <c r="C364" s="10" t="s">
        <v>1087</v>
      </c>
    </row>
    <row r="365" spans="2:5" x14ac:dyDescent="0.25">
      <c r="C365" s="10" t="s">
        <v>1088</v>
      </c>
    </row>
    <row r="366" spans="2:5" x14ac:dyDescent="0.25">
      <c r="C366" s="10" t="s">
        <v>1089</v>
      </c>
    </row>
    <row r="367" spans="2:5" x14ac:dyDescent="0.25">
      <c r="B367" s="8" t="s">
        <v>1091</v>
      </c>
      <c r="C367" s="10" t="s">
        <v>1092</v>
      </c>
    </row>
    <row r="368" spans="2:5" x14ac:dyDescent="0.25">
      <c r="C368" s="10" t="s">
        <v>1093</v>
      </c>
    </row>
    <row r="369" spans="2:5" x14ac:dyDescent="0.25">
      <c r="B369" s="8" t="s">
        <v>1102</v>
      </c>
      <c r="C369" s="10" t="s">
        <v>1103</v>
      </c>
      <c r="D369" s="10" t="s">
        <v>760</v>
      </c>
      <c r="E369" s="11" t="s">
        <v>1104</v>
      </c>
    </row>
    <row r="370" spans="2:5" x14ac:dyDescent="0.25">
      <c r="C370" s="10" t="s">
        <v>1105</v>
      </c>
    </row>
    <row r="371" spans="2:5" x14ac:dyDescent="0.25">
      <c r="B371" s="8" t="s">
        <v>1107</v>
      </c>
      <c r="C371" s="10" t="s">
        <v>1108</v>
      </c>
      <c r="D371" s="10" t="s">
        <v>760</v>
      </c>
      <c r="E371" s="11" t="s">
        <v>1109</v>
      </c>
    </row>
    <row r="372" spans="2:5" x14ac:dyDescent="0.25">
      <c r="B372" s="8" t="s">
        <v>1110</v>
      </c>
      <c r="C372" s="10" t="s">
        <v>1111</v>
      </c>
      <c r="D372" s="10" t="s">
        <v>760</v>
      </c>
      <c r="E372" s="11" t="s">
        <v>1112</v>
      </c>
    </row>
    <row r="373" spans="2:5" x14ac:dyDescent="0.25">
      <c r="C373" s="10" t="s">
        <v>1113</v>
      </c>
    </row>
    <row r="374" spans="2:5" x14ac:dyDescent="0.25">
      <c r="C374" s="10" t="s">
        <v>1114</v>
      </c>
    </row>
    <row r="375" spans="2:5" x14ac:dyDescent="0.25">
      <c r="B375" s="8" t="s">
        <v>1110</v>
      </c>
      <c r="C375" s="10" t="s">
        <v>1121</v>
      </c>
      <c r="D375" s="10" t="s">
        <v>698</v>
      </c>
      <c r="E375" s="11" t="s">
        <v>1122</v>
      </c>
    </row>
    <row r="376" spans="2:5" x14ac:dyDescent="0.25">
      <c r="B376" s="8" t="s">
        <v>1110</v>
      </c>
      <c r="C376" s="10" t="s">
        <v>1123</v>
      </c>
      <c r="D376" s="10" t="s">
        <v>698</v>
      </c>
      <c r="E376" s="11" t="s">
        <v>1122</v>
      </c>
    </row>
    <row r="377" spans="2:5" x14ac:dyDescent="0.25">
      <c r="C377" s="10" t="s">
        <v>1124</v>
      </c>
      <c r="D377" s="10" t="s">
        <v>698</v>
      </c>
      <c r="E377" s="11" t="s">
        <v>1122</v>
      </c>
    </row>
    <row r="378" spans="2:5" x14ac:dyDescent="0.25">
      <c r="C378" s="10" t="s">
        <v>1125</v>
      </c>
      <c r="D378" s="10" t="s">
        <v>698</v>
      </c>
      <c r="E378" s="11" t="s">
        <v>1122</v>
      </c>
    </row>
    <row r="379" spans="2:5" x14ac:dyDescent="0.25">
      <c r="B379" s="8" t="s">
        <v>1130</v>
      </c>
      <c r="C379" s="10" t="s">
        <v>1131</v>
      </c>
      <c r="D379" s="10" t="s">
        <v>760</v>
      </c>
      <c r="E379" s="11" t="s">
        <v>810</v>
      </c>
    </row>
    <row r="380" spans="2:5" x14ac:dyDescent="0.25">
      <c r="C380" s="10" t="s">
        <v>1132</v>
      </c>
    </row>
    <row r="381" spans="2:5" x14ac:dyDescent="0.25">
      <c r="C381" s="10" t="s">
        <v>1133</v>
      </c>
    </row>
    <row r="382" spans="2:5" x14ac:dyDescent="0.25">
      <c r="C382" s="10" t="s">
        <v>1134</v>
      </c>
    </row>
    <row r="383" spans="2:5" x14ac:dyDescent="0.25">
      <c r="C383" s="10" t="s">
        <v>1135</v>
      </c>
    </row>
    <row r="384" spans="2:5" x14ac:dyDescent="0.25">
      <c r="C384" s="10" t="s">
        <v>1136</v>
      </c>
    </row>
    <row r="385" spans="2:5" x14ac:dyDescent="0.25">
      <c r="B385" s="8" t="s">
        <v>1137</v>
      </c>
      <c r="C385" s="10" t="s">
        <v>1138</v>
      </c>
      <c r="D385" s="10" t="s">
        <v>760</v>
      </c>
      <c r="E385" s="11" t="s">
        <v>816</v>
      </c>
    </row>
    <row r="386" spans="2:5" x14ac:dyDescent="0.25">
      <c r="C386" s="10" t="s">
        <v>1139</v>
      </c>
    </row>
    <row r="387" spans="2:5" x14ac:dyDescent="0.25">
      <c r="C387" s="10" t="s">
        <v>1140</v>
      </c>
    </row>
    <row r="388" spans="2:5" x14ac:dyDescent="0.25">
      <c r="C388" s="10" t="s">
        <v>1141</v>
      </c>
    </row>
    <row r="389" spans="2:5" x14ac:dyDescent="0.25">
      <c r="C389" s="10" t="s">
        <v>1142</v>
      </c>
    </row>
    <row r="390" spans="2:5" x14ac:dyDescent="0.25">
      <c r="C390" s="10" t="s">
        <v>1143</v>
      </c>
    </row>
    <row r="391" spans="2:5" x14ac:dyDescent="0.25">
      <c r="C391" s="10" t="s">
        <v>1144</v>
      </c>
    </row>
    <row r="392" spans="2:5" x14ac:dyDescent="0.25">
      <c r="C392" s="10" t="s">
        <v>1145</v>
      </c>
    </row>
    <row r="393" spans="2:5" x14ac:dyDescent="0.25">
      <c r="C393" s="10" t="s">
        <v>1146</v>
      </c>
    </row>
    <row r="394" spans="2:5" x14ac:dyDescent="0.25">
      <c r="C394" s="10" t="s">
        <v>1147</v>
      </c>
    </row>
    <row r="395" spans="2:5" x14ac:dyDescent="0.25">
      <c r="C395" s="10" t="s">
        <v>1148</v>
      </c>
    </row>
    <row r="396" spans="2:5" x14ac:dyDescent="0.25">
      <c r="B396" s="8" t="s">
        <v>1149</v>
      </c>
      <c r="C396" s="10" t="s">
        <v>1150</v>
      </c>
      <c r="D396" s="10" t="s">
        <v>760</v>
      </c>
      <c r="E396" s="11" t="s">
        <v>853</v>
      </c>
    </row>
    <row r="397" spans="2:5" x14ac:dyDescent="0.25">
      <c r="C397" s="10" t="s">
        <v>1151</v>
      </c>
    </row>
    <row r="400" spans="2:5" x14ac:dyDescent="0.25">
      <c r="B400" s="8" t="s">
        <v>1152</v>
      </c>
      <c r="C400" s="10" t="s">
        <v>1153</v>
      </c>
      <c r="D400" s="10" t="s">
        <v>698</v>
      </c>
      <c r="E400" s="11" t="s">
        <v>1154</v>
      </c>
    </row>
    <row r="402" spans="2:5" x14ac:dyDescent="0.25">
      <c r="B402" s="297" t="s">
        <v>1206</v>
      </c>
      <c r="C402" s="298"/>
      <c r="D402" s="298"/>
      <c r="E402" s="299"/>
    </row>
    <row r="404" spans="2:5" x14ac:dyDescent="0.25">
      <c r="B404" s="300">
        <v>44291</v>
      </c>
      <c r="C404" s="10" t="s">
        <v>1207</v>
      </c>
      <c r="D404" s="10" t="s">
        <v>1208</v>
      </c>
      <c r="E404" s="11" t="s">
        <v>1154</v>
      </c>
    </row>
    <row r="405" spans="2:5" x14ac:dyDescent="0.25">
      <c r="B405" s="300">
        <v>44291</v>
      </c>
      <c r="C405" s="10" t="s">
        <v>1209</v>
      </c>
      <c r="D405" s="10" t="s">
        <v>1208</v>
      </c>
      <c r="E405" s="11" t="s">
        <v>1154</v>
      </c>
    </row>
    <row r="406" spans="2:5" x14ac:dyDescent="0.25">
      <c r="B406" s="300">
        <v>44293</v>
      </c>
      <c r="C406" s="10" t="s">
        <v>1210</v>
      </c>
      <c r="D406" s="10" t="s">
        <v>1208</v>
      </c>
      <c r="E406" s="11" t="s">
        <v>1154</v>
      </c>
    </row>
    <row r="407" spans="2:5" x14ac:dyDescent="0.25">
      <c r="B407" s="300">
        <v>44300</v>
      </c>
      <c r="C407" s="10" t="s">
        <v>1211</v>
      </c>
      <c r="D407" s="10" t="s">
        <v>1208</v>
      </c>
      <c r="E407" s="11" t="s">
        <v>1154</v>
      </c>
    </row>
    <row r="408" spans="2:5" x14ac:dyDescent="0.25">
      <c r="B408" s="300">
        <v>44302</v>
      </c>
      <c r="C408" s="10" t="s">
        <v>1212</v>
      </c>
      <c r="D408" s="10" t="s">
        <v>1208</v>
      </c>
      <c r="E408" s="11" t="s">
        <v>1154</v>
      </c>
    </row>
    <row r="409" spans="2:5" x14ac:dyDescent="0.25">
      <c r="B409" s="300">
        <v>44313</v>
      </c>
      <c r="C409" s="10" t="s">
        <v>1213</v>
      </c>
      <c r="D409" s="10" t="s">
        <v>1208</v>
      </c>
      <c r="E409" s="11" t="s">
        <v>1154</v>
      </c>
    </row>
    <row r="410" spans="2:5" x14ac:dyDescent="0.25">
      <c r="B410" s="300">
        <v>44314</v>
      </c>
      <c r="C410" s="10" t="s">
        <v>1214</v>
      </c>
      <c r="D410" s="10" t="s">
        <v>1208</v>
      </c>
      <c r="E410" s="11" t="s">
        <v>1154</v>
      </c>
    </row>
    <row r="411" spans="2:5" x14ac:dyDescent="0.25">
      <c r="B411" s="300">
        <v>44319</v>
      </c>
      <c r="C411" s="10" t="s">
        <v>1216</v>
      </c>
      <c r="D411" s="10" t="s">
        <v>1208</v>
      </c>
      <c r="E411" s="11" t="s">
        <v>1154</v>
      </c>
    </row>
    <row r="412" spans="2:5" x14ac:dyDescent="0.25">
      <c r="B412" s="300">
        <v>44329</v>
      </c>
      <c r="C412" s="10" t="s">
        <v>1217</v>
      </c>
      <c r="D412" s="10" t="s">
        <v>760</v>
      </c>
      <c r="E412" s="11" t="s">
        <v>1218</v>
      </c>
    </row>
    <row r="413" spans="2:5" x14ac:dyDescent="0.25">
      <c r="B413" s="300">
        <v>44354</v>
      </c>
      <c r="C413" s="10" t="s">
        <v>1219</v>
      </c>
      <c r="D413" s="10" t="s">
        <v>760</v>
      </c>
      <c r="E413" s="11" t="s">
        <v>1222</v>
      </c>
    </row>
    <row r="414" spans="2:5" x14ac:dyDescent="0.25">
      <c r="B414" s="300">
        <v>44355</v>
      </c>
      <c r="C414" s="10" t="s">
        <v>1220</v>
      </c>
      <c r="D414" s="10" t="s">
        <v>760</v>
      </c>
      <c r="E414" s="11" t="s">
        <v>1221</v>
      </c>
    </row>
    <row r="415" spans="2:5" x14ac:dyDescent="0.25">
      <c r="B415" s="300">
        <v>44362</v>
      </c>
      <c r="C415" s="10" t="s">
        <v>1223</v>
      </c>
      <c r="D415" s="10" t="s">
        <v>760</v>
      </c>
      <c r="E415" s="11" t="s">
        <v>1226</v>
      </c>
    </row>
    <row r="416" spans="2:5" x14ac:dyDescent="0.25">
      <c r="C416" s="10" t="s">
        <v>1224</v>
      </c>
    </row>
    <row r="417" spans="2:5" x14ac:dyDescent="0.25">
      <c r="C417" s="10" t="s">
        <v>1225</v>
      </c>
    </row>
    <row r="418" spans="2:5" x14ac:dyDescent="0.25">
      <c r="B418" s="300">
        <v>44368</v>
      </c>
      <c r="C418" s="10" t="s">
        <v>1227</v>
      </c>
      <c r="D418" s="10" t="s">
        <v>698</v>
      </c>
      <c r="E418" s="11" t="s">
        <v>1228</v>
      </c>
    </row>
    <row r="419" spans="2:5" x14ac:dyDescent="0.25">
      <c r="C419" s="10" t="s">
        <v>1232</v>
      </c>
    </row>
    <row r="420" spans="2:5" x14ac:dyDescent="0.25">
      <c r="C420" s="10" t="s">
        <v>1233</v>
      </c>
    </row>
    <row r="421" spans="2:5" x14ac:dyDescent="0.25">
      <c r="C421" s="10" t="s">
        <v>1234</v>
      </c>
    </row>
    <row r="422" spans="2:5" x14ac:dyDescent="0.25">
      <c r="C422" s="10" t="s">
        <v>1235</v>
      </c>
    </row>
    <row r="423" spans="2:5" x14ac:dyDescent="0.25">
      <c r="B423" s="300">
        <v>44370</v>
      </c>
      <c r="C423" s="10" t="s">
        <v>1236</v>
      </c>
      <c r="D423" s="10" t="s">
        <v>760</v>
      </c>
      <c r="E423" s="11" t="s">
        <v>1237</v>
      </c>
    </row>
    <row r="424" spans="2:5" x14ac:dyDescent="0.25">
      <c r="C424" s="10" t="s">
        <v>1238</v>
      </c>
    </row>
    <row r="425" spans="2:5" x14ac:dyDescent="0.25">
      <c r="C425" s="10" t="s">
        <v>1239</v>
      </c>
    </row>
    <row r="426" spans="2:5" x14ac:dyDescent="0.25">
      <c r="B426" s="300">
        <v>44371</v>
      </c>
      <c r="C426" s="10" t="s">
        <v>1240</v>
      </c>
      <c r="D426" s="10" t="s">
        <v>760</v>
      </c>
      <c r="E426" s="11" t="s">
        <v>1241</v>
      </c>
    </row>
    <row r="427" spans="2:5" x14ac:dyDescent="0.25">
      <c r="C427" s="10" t="s">
        <v>1242</v>
      </c>
    </row>
    <row r="428" spans="2:5" x14ac:dyDescent="0.25">
      <c r="B428" s="300">
        <v>44375</v>
      </c>
      <c r="C428" s="10" t="s">
        <v>1243</v>
      </c>
      <c r="D428" s="10" t="s">
        <v>698</v>
      </c>
      <c r="E428" s="11" t="s">
        <v>1244</v>
      </c>
    </row>
    <row r="429" spans="2:5" x14ac:dyDescent="0.25">
      <c r="C429" s="10" t="s">
        <v>1245</v>
      </c>
      <c r="D429" s="10" t="s">
        <v>698</v>
      </c>
      <c r="E429" s="11" t="s">
        <v>1244</v>
      </c>
    </row>
    <row r="430" spans="2:5" x14ac:dyDescent="0.25">
      <c r="C430" s="10" t="s">
        <v>1246</v>
      </c>
      <c r="D430" s="10" t="s">
        <v>698</v>
      </c>
      <c r="E430" s="11" t="s">
        <v>1244</v>
      </c>
    </row>
    <row r="431" spans="2:5" x14ac:dyDescent="0.25">
      <c r="C431" s="10" t="s">
        <v>1247</v>
      </c>
      <c r="D431" s="10" t="s">
        <v>698</v>
      </c>
      <c r="E431" s="11" t="s">
        <v>1244</v>
      </c>
    </row>
    <row r="432" spans="2:5" x14ac:dyDescent="0.25">
      <c r="C432" s="10" t="s">
        <v>1248</v>
      </c>
      <c r="D432" s="10" t="s">
        <v>698</v>
      </c>
      <c r="E432" s="11" t="s">
        <v>1244</v>
      </c>
    </row>
    <row r="433" spans="2:5" x14ac:dyDescent="0.25">
      <c r="C433" s="10" t="s">
        <v>1249</v>
      </c>
      <c r="D433" s="10" t="s">
        <v>698</v>
      </c>
      <c r="E433" s="11" t="s">
        <v>1244</v>
      </c>
    </row>
    <row r="434" spans="2:5" x14ac:dyDescent="0.25">
      <c r="C434" s="10" t="s">
        <v>1250</v>
      </c>
      <c r="D434" s="10" t="s">
        <v>698</v>
      </c>
      <c r="E434" s="11" t="s">
        <v>1244</v>
      </c>
    </row>
    <row r="435" spans="2:5" x14ac:dyDescent="0.25">
      <c r="C435" s="10" t="s">
        <v>1251</v>
      </c>
    </row>
    <row r="436" spans="2:5" x14ac:dyDescent="0.25">
      <c r="B436" s="8" t="s">
        <v>1252</v>
      </c>
      <c r="C436" s="10" t="s">
        <v>1253</v>
      </c>
      <c r="D436" s="10" t="s">
        <v>760</v>
      </c>
      <c r="E436" s="11" t="s">
        <v>1254</v>
      </c>
    </row>
    <row r="437" spans="2:5" x14ac:dyDescent="0.25">
      <c r="B437" s="8" t="s">
        <v>1255</v>
      </c>
      <c r="C437" s="10" t="s">
        <v>1256</v>
      </c>
      <c r="D437" s="10" t="s">
        <v>760</v>
      </c>
      <c r="E437" s="11" t="s">
        <v>1257</v>
      </c>
    </row>
    <row r="438" spans="2:5" x14ac:dyDescent="0.25">
      <c r="C438" s="10" t="s">
        <v>1259</v>
      </c>
    </row>
    <row r="439" spans="2:5" x14ac:dyDescent="0.25">
      <c r="B439" s="8" t="s">
        <v>1260</v>
      </c>
      <c r="C439" s="10" t="s">
        <v>1261</v>
      </c>
      <c r="D439" s="10" t="s">
        <v>760</v>
      </c>
      <c r="E439" s="11" t="s">
        <v>1262</v>
      </c>
    </row>
    <row r="440" spans="2:5" x14ac:dyDescent="0.25">
      <c r="C440" s="10" t="s">
        <v>1263</v>
      </c>
    </row>
    <row r="441" spans="2:5" x14ac:dyDescent="0.25">
      <c r="B441" s="8" t="s">
        <v>1265</v>
      </c>
      <c r="C441" s="10" t="s">
        <v>1266</v>
      </c>
      <c r="D441" s="10" t="s">
        <v>760</v>
      </c>
      <c r="E441" s="11" t="s">
        <v>1122</v>
      </c>
    </row>
    <row r="442" spans="2:5" x14ac:dyDescent="0.25">
      <c r="B442" s="8" t="s">
        <v>1267</v>
      </c>
      <c r="C442" s="10" t="s">
        <v>1268</v>
      </c>
      <c r="D442" s="10" t="s">
        <v>760</v>
      </c>
      <c r="E442" s="11" t="s">
        <v>1269</v>
      </c>
    </row>
    <row r="443" spans="2:5" x14ac:dyDescent="0.25">
      <c r="C443" s="10" t="s">
        <v>1270</v>
      </c>
    </row>
    <row r="444" spans="2:5" x14ac:dyDescent="0.25">
      <c r="C444" s="10" t="s">
        <v>1271</v>
      </c>
    </row>
    <row r="445" spans="2:5" x14ac:dyDescent="0.25">
      <c r="C445" s="10" t="s">
        <v>1272</v>
      </c>
    </row>
    <row r="446" spans="2:5" x14ac:dyDescent="0.25">
      <c r="C446" s="10" t="s">
        <v>1273</v>
      </c>
    </row>
    <row r="447" spans="2:5" x14ac:dyDescent="0.25">
      <c r="B447" s="8" t="s">
        <v>1274</v>
      </c>
      <c r="C447" s="10" t="s">
        <v>1275</v>
      </c>
      <c r="D447" s="10" t="s">
        <v>760</v>
      </c>
    </row>
    <row r="448" spans="2:5" x14ac:dyDescent="0.25">
      <c r="B448" s="8" t="s">
        <v>1281</v>
      </c>
      <c r="C448" s="10" t="s">
        <v>1278</v>
      </c>
      <c r="D448" s="10" t="s">
        <v>760</v>
      </c>
      <c r="E448" s="11" t="s">
        <v>1279</v>
      </c>
    </row>
    <row r="449" spans="2:5" x14ac:dyDescent="0.25">
      <c r="C449" s="10" t="s">
        <v>1280</v>
      </c>
    </row>
    <row r="450" spans="2:5" x14ac:dyDescent="0.25">
      <c r="B450" s="8" t="s">
        <v>1282</v>
      </c>
      <c r="C450" s="10" t="s">
        <v>1283</v>
      </c>
      <c r="D450" s="10" t="s">
        <v>760</v>
      </c>
      <c r="E450" s="11" t="s">
        <v>1284</v>
      </c>
    </row>
    <row r="451" spans="2:5" x14ac:dyDescent="0.25">
      <c r="B451" s="8" t="s">
        <v>1277</v>
      </c>
      <c r="C451" s="10" t="s">
        <v>1285</v>
      </c>
      <c r="D451" s="10" t="s">
        <v>760</v>
      </c>
      <c r="E451" s="11" t="s">
        <v>1286</v>
      </c>
    </row>
    <row r="452" spans="2:5" x14ac:dyDescent="0.25">
      <c r="C452" s="10" t="s">
        <v>1287</v>
      </c>
    </row>
    <row r="453" spans="2:5" x14ac:dyDescent="0.25">
      <c r="C453" s="10" t="s">
        <v>1288</v>
      </c>
    </row>
    <row r="454" spans="2:5" x14ac:dyDescent="0.25">
      <c r="C454" s="10" t="s">
        <v>1289</v>
      </c>
    </row>
    <row r="455" spans="2:5" x14ac:dyDescent="0.25">
      <c r="C455" s="10" t="s">
        <v>1290</v>
      </c>
    </row>
    <row r="456" spans="2:5" x14ac:dyDescent="0.25">
      <c r="B456" s="8" t="s">
        <v>1291</v>
      </c>
      <c r="C456" s="10" t="s">
        <v>1292</v>
      </c>
      <c r="D456" s="10" t="s">
        <v>1293</v>
      </c>
      <c r="E456" s="11" t="s">
        <v>1262</v>
      </c>
    </row>
    <row r="457" spans="2:5" x14ac:dyDescent="0.25">
      <c r="B457" s="8" t="s">
        <v>1291</v>
      </c>
      <c r="C457" s="10" t="s">
        <v>1294</v>
      </c>
      <c r="D457" s="10" t="s">
        <v>760</v>
      </c>
      <c r="E457" s="11" t="s">
        <v>1295</v>
      </c>
    </row>
    <row r="458" spans="2:5" x14ac:dyDescent="0.25">
      <c r="B458" s="8" t="s">
        <v>1297</v>
      </c>
      <c r="C458" s="10" t="s">
        <v>1298</v>
      </c>
      <c r="D458" s="10" t="s">
        <v>760</v>
      </c>
      <c r="E458" s="11" t="s">
        <v>1299</v>
      </c>
    </row>
    <row r="459" spans="2:5" x14ac:dyDescent="0.25">
      <c r="B459" s="8" t="s">
        <v>1300</v>
      </c>
      <c r="C459" s="10" t="s">
        <v>1301</v>
      </c>
      <c r="D459" s="10" t="s">
        <v>760</v>
      </c>
      <c r="E459" s="11" t="s">
        <v>1302</v>
      </c>
    </row>
    <row r="460" spans="2:5" x14ac:dyDescent="0.25">
      <c r="C460" s="10" t="s">
        <v>1303</v>
      </c>
    </row>
    <row r="461" spans="2:5" x14ac:dyDescent="0.25">
      <c r="B461" s="8" t="s">
        <v>1304</v>
      </c>
      <c r="C461" s="10" t="s">
        <v>1305</v>
      </c>
      <c r="D461" s="10" t="s">
        <v>760</v>
      </c>
      <c r="E461" s="11" t="s">
        <v>1306</v>
      </c>
    </row>
    <row r="462" spans="2:5" x14ac:dyDescent="0.25">
      <c r="B462" s="8" t="s">
        <v>1307</v>
      </c>
      <c r="C462" s="10" t="s">
        <v>1308</v>
      </c>
      <c r="D462" s="10" t="s">
        <v>760</v>
      </c>
      <c r="E462" s="11" t="s">
        <v>1309</v>
      </c>
    </row>
    <row r="463" spans="2:5" x14ac:dyDescent="0.25">
      <c r="B463" s="8" t="s">
        <v>1310</v>
      </c>
      <c r="C463" s="10" t="s">
        <v>1311</v>
      </c>
      <c r="D463" s="10" t="s">
        <v>760</v>
      </c>
      <c r="E463" s="11" t="s">
        <v>1284</v>
      </c>
    </row>
    <row r="464" spans="2:5" x14ac:dyDescent="0.25">
      <c r="C464" s="10" t="s">
        <v>1312</v>
      </c>
    </row>
    <row r="465" spans="2:5" x14ac:dyDescent="0.25">
      <c r="C465" s="10" t="s">
        <v>1313</v>
      </c>
    </row>
    <row r="466" spans="2:5" x14ac:dyDescent="0.25">
      <c r="B466" s="8" t="s">
        <v>1314</v>
      </c>
      <c r="C466" s="10" t="s">
        <v>1315</v>
      </c>
      <c r="D466" s="10" t="s">
        <v>760</v>
      </c>
      <c r="E466" s="11" t="s">
        <v>1286</v>
      </c>
    </row>
    <row r="467" spans="2:5" x14ac:dyDescent="0.25">
      <c r="C467" s="10" t="s">
        <v>1316</v>
      </c>
    </row>
    <row r="468" spans="2:5" x14ac:dyDescent="0.25">
      <c r="C468" s="10" t="s">
        <v>1317</v>
      </c>
    </row>
    <row r="469" spans="2:5" x14ac:dyDescent="0.25">
      <c r="C469" s="10" t="s">
        <v>1318</v>
      </c>
    </row>
    <row r="470" spans="2:5" x14ac:dyDescent="0.25">
      <c r="C470" s="10" t="s">
        <v>1323</v>
      </c>
    </row>
    <row r="471" spans="2:5" x14ac:dyDescent="0.25">
      <c r="C471" s="10" t="s">
        <v>1324</v>
      </c>
    </row>
    <row r="472" spans="2:5" x14ac:dyDescent="0.25">
      <c r="B472" s="8" t="s">
        <v>1325</v>
      </c>
      <c r="C472" s="10" t="s">
        <v>1326</v>
      </c>
      <c r="D472" s="10" t="s">
        <v>760</v>
      </c>
      <c r="E472" s="11" t="s">
        <v>1327</v>
      </c>
    </row>
    <row r="473" spans="2:5" x14ac:dyDescent="0.25">
      <c r="C473" s="10" t="s">
        <v>1328</v>
      </c>
    </row>
    <row r="474" spans="2:5" x14ac:dyDescent="0.25">
      <c r="C474" s="10" t="s">
        <v>1329</v>
      </c>
    </row>
    <row r="475" spans="2:5" x14ac:dyDescent="0.25">
      <c r="C475" s="10" t="s">
        <v>1330</v>
      </c>
    </row>
    <row r="476" spans="2:5" x14ac:dyDescent="0.25">
      <c r="C476" s="10" t="s">
        <v>1331</v>
      </c>
    </row>
    <row r="477" spans="2:5" x14ac:dyDescent="0.25">
      <c r="B477" s="8" t="s">
        <v>1332</v>
      </c>
      <c r="C477" s="10" t="s">
        <v>1333</v>
      </c>
      <c r="D477" s="10" t="s">
        <v>760</v>
      </c>
      <c r="E477" s="11" t="s">
        <v>1334</v>
      </c>
    </row>
    <row r="478" spans="2:5" x14ac:dyDescent="0.25">
      <c r="C478" s="10" t="s">
        <v>1335</v>
      </c>
    </row>
    <row r="479" spans="2:5" x14ac:dyDescent="0.25">
      <c r="B479" s="8" t="s">
        <v>1337</v>
      </c>
      <c r="C479" s="10" t="s">
        <v>1338</v>
      </c>
      <c r="D479" s="10" t="s">
        <v>698</v>
      </c>
      <c r="E479" s="11" t="s">
        <v>1342</v>
      </c>
    </row>
    <row r="480" spans="2:5" x14ac:dyDescent="0.25">
      <c r="C480" s="10" t="s">
        <v>1339</v>
      </c>
    </row>
    <row r="481" spans="2:5" x14ac:dyDescent="0.25">
      <c r="C481" s="10" t="s">
        <v>1340</v>
      </c>
    </row>
    <row r="482" spans="2:5" ht="31.5" x14ac:dyDescent="0.25">
      <c r="B482" s="8" t="s">
        <v>1341</v>
      </c>
      <c r="C482" s="317" t="s">
        <v>1345</v>
      </c>
      <c r="D482" s="10" t="s">
        <v>698</v>
      </c>
      <c r="E482" s="11" t="s">
        <v>1343</v>
      </c>
    </row>
    <row r="483" spans="2:5" x14ac:dyDescent="0.25">
      <c r="C483" s="10" t="s">
        <v>1344</v>
      </c>
    </row>
    <row r="484" spans="2:5" x14ac:dyDescent="0.25">
      <c r="C484" s="10" t="s">
        <v>1346</v>
      </c>
    </row>
    <row r="486" spans="2:5" x14ac:dyDescent="0.25">
      <c r="B486" s="8" t="s">
        <v>1347</v>
      </c>
      <c r="C486" s="10" t="s">
        <v>1348</v>
      </c>
      <c r="D486" s="10" t="s">
        <v>698</v>
      </c>
      <c r="E486" s="11" t="s">
        <v>1349</v>
      </c>
    </row>
    <row r="488" spans="2:5" x14ac:dyDescent="0.25">
      <c r="B488" s="318">
        <v>45197</v>
      </c>
      <c r="C488" s="10" t="s">
        <v>1350</v>
      </c>
      <c r="D488" s="10" t="s">
        <v>1351</v>
      </c>
      <c r="E488" s="11" t="s">
        <v>1349</v>
      </c>
    </row>
    <row r="489" spans="2:5" x14ac:dyDescent="0.25">
      <c r="B489" s="10"/>
      <c r="C489" s="10" t="s">
        <v>1352</v>
      </c>
    </row>
    <row r="491" spans="2:5" x14ac:dyDescent="0.25">
      <c r="B491" s="8" t="s">
        <v>1353</v>
      </c>
      <c r="C491" s="349" t="s">
        <v>1354</v>
      </c>
    </row>
    <row r="492" spans="2:5" x14ac:dyDescent="0.25">
      <c r="C492" s="10" t="s">
        <v>1355</v>
      </c>
    </row>
    <row r="493" spans="2:5" x14ac:dyDescent="0.25">
      <c r="C493" s="10" t="s">
        <v>1356</v>
      </c>
    </row>
    <row r="494" spans="2:5" x14ac:dyDescent="0.25">
      <c r="C494" s="10" t="s">
        <v>1357</v>
      </c>
    </row>
    <row r="495" spans="2:5" x14ac:dyDescent="0.25">
      <c r="C495" s="10" t="s">
        <v>1358</v>
      </c>
    </row>
    <row r="496" spans="2:5" x14ac:dyDescent="0.25">
      <c r="C496" s="10" t="s">
        <v>1359</v>
      </c>
    </row>
    <row r="497" spans="2:5" x14ac:dyDescent="0.25">
      <c r="C497" s="10" t="s">
        <v>1360</v>
      </c>
    </row>
    <row r="498" spans="2:5" x14ac:dyDescent="0.25">
      <c r="C498" s="10" t="s">
        <v>1361</v>
      </c>
    </row>
    <row r="499" spans="2:5" x14ac:dyDescent="0.25">
      <c r="C499" s="10" t="s">
        <v>1362</v>
      </c>
    </row>
    <row r="500" spans="2:5" x14ac:dyDescent="0.25">
      <c r="C500" s="10" t="s">
        <v>1363</v>
      </c>
    </row>
    <row r="501" spans="2:5" x14ac:dyDescent="0.25">
      <c r="C501" s="10" t="s">
        <v>1364</v>
      </c>
    </row>
    <row r="502" spans="2:5" x14ac:dyDescent="0.25">
      <c r="C502" s="10" t="s">
        <v>1365</v>
      </c>
      <c r="D502" s="10" t="s">
        <v>1366</v>
      </c>
      <c r="E502" s="11" t="s">
        <v>1367</v>
      </c>
    </row>
    <row r="504" spans="2:5" ht="18" x14ac:dyDescent="0.25">
      <c r="B504" s="8" t="s">
        <v>1379</v>
      </c>
      <c r="C504" s="350" t="s">
        <v>1354</v>
      </c>
    </row>
    <row r="505" spans="2:5" x14ac:dyDescent="0.25">
      <c r="C505" s="10" t="s">
        <v>1368</v>
      </c>
    </row>
    <row r="506" spans="2:5" x14ac:dyDescent="0.25">
      <c r="C506" s="349" t="s">
        <v>1369</v>
      </c>
    </row>
    <row r="507" spans="2:5" x14ac:dyDescent="0.25">
      <c r="C507" s="10" t="s">
        <v>1370</v>
      </c>
    </row>
    <row r="508" spans="2:5" x14ac:dyDescent="0.25">
      <c r="C508" s="10" t="s">
        <v>1372</v>
      </c>
    </row>
    <row r="509" spans="2:5" x14ac:dyDescent="0.25">
      <c r="C509" s="10" t="s">
        <v>1373</v>
      </c>
    </row>
    <row r="510" spans="2:5" x14ac:dyDescent="0.25">
      <c r="C510" s="10" t="s">
        <v>1374</v>
      </c>
    </row>
    <row r="511" spans="2:5" x14ac:dyDescent="0.25">
      <c r="C511" s="10" t="s">
        <v>1375</v>
      </c>
    </row>
    <row r="512" spans="2:5" x14ac:dyDescent="0.25">
      <c r="C512" s="10" t="s">
        <v>1376</v>
      </c>
    </row>
    <row r="513" spans="2:5" x14ac:dyDescent="0.25">
      <c r="C513" s="10" t="s">
        <v>1371</v>
      </c>
    </row>
    <row r="514" spans="2:5" x14ac:dyDescent="0.25">
      <c r="C514" s="349" t="s">
        <v>1377</v>
      </c>
    </row>
    <row r="515" spans="2:5" x14ac:dyDescent="0.25">
      <c r="C515" s="10" t="s">
        <v>1378</v>
      </c>
    </row>
    <row r="516" spans="2:5" x14ac:dyDescent="0.25">
      <c r="C516" s="10" t="s">
        <v>1387</v>
      </c>
      <c r="D516" s="10" t="s">
        <v>1366</v>
      </c>
      <c r="E516" s="11" t="s">
        <v>1388</v>
      </c>
    </row>
    <row r="518" spans="2:5" ht="18" x14ac:dyDescent="0.25">
      <c r="B518" s="8" t="s">
        <v>1389</v>
      </c>
      <c r="C518" s="350" t="s">
        <v>1354</v>
      </c>
    </row>
    <row r="519" spans="2:5" x14ac:dyDescent="0.25">
      <c r="C519" s="349" t="s">
        <v>1390</v>
      </c>
    </row>
    <row r="520" spans="2:5" x14ac:dyDescent="0.25">
      <c r="C520" s="10" t="s">
        <v>1391</v>
      </c>
    </row>
    <row r="521" spans="2:5" x14ac:dyDescent="0.25">
      <c r="C521" s="10" t="s">
        <v>1392</v>
      </c>
      <c r="D521" s="10" t="s">
        <v>1366</v>
      </c>
      <c r="E521" s="11" t="s">
        <v>1393</v>
      </c>
    </row>
    <row r="523" spans="2:5" ht="18" x14ac:dyDescent="0.25">
      <c r="B523" s="8" t="s">
        <v>1396</v>
      </c>
      <c r="C523" s="350" t="s">
        <v>1354</v>
      </c>
    </row>
    <row r="524" spans="2:5" x14ac:dyDescent="0.25">
      <c r="C524" s="10" t="s">
        <v>1394</v>
      </c>
    </row>
    <row r="525" spans="2:5" x14ac:dyDescent="0.25">
      <c r="C525" s="10" t="s">
        <v>1395</v>
      </c>
    </row>
    <row r="526" spans="2:5" x14ac:dyDescent="0.25">
      <c r="C526" s="10" t="s">
        <v>1399</v>
      </c>
    </row>
    <row r="527" spans="2:5" x14ac:dyDescent="0.25">
      <c r="C527" s="10" t="s">
        <v>1397</v>
      </c>
    </row>
    <row r="528" spans="2:5" x14ac:dyDescent="0.25">
      <c r="C528" s="10" t="s">
        <v>1400</v>
      </c>
    </row>
    <row r="529" spans="2:5" x14ac:dyDescent="0.25">
      <c r="C529" s="10" t="s">
        <v>1401</v>
      </c>
    </row>
    <row r="530" spans="2:5" x14ac:dyDescent="0.25">
      <c r="C530" s="10" t="s">
        <v>1402</v>
      </c>
      <c r="D530" s="10" t="s">
        <v>1366</v>
      </c>
      <c r="E530" s="11" t="s">
        <v>1398</v>
      </c>
    </row>
    <row r="532" spans="2:5" x14ac:dyDescent="0.25">
      <c r="B532" s="8" t="s">
        <v>1403</v>
      </c>
      <c r="C532" s="10" t="s">
        <v>1404</v>
      </c>
      <c r="D532" s="10" t="s">
        <v>698</v>
      </c>
      <c r="E532" s="11" t="s">
        <v>1405</v>
      </c>
    </row>
    <row r="534" spans="2:5" x14ac:dyDescent="0.25">
      <c r="B534" s="8" t="s">
        <v>1412</v>
      </c>
      <c r="C534" s="10" t="s">
        <v>1413</v>
      </c>
      <c r="D534" s="10" t="s">
        <v>1366</v>
      </c>
      <c r="E534" s="11" t="s">
        <v>1349</v>
      </c>
    </row>
    <row r="536" spans="2:5" x14ac:dyDescent="0.25">
      <c r="B536" s="8" t="s">
        <v>1416</v>
      </c>
      <c r="C536" s="10" t="s">
        <v>1417</v>
      </c>
      <c r="D536" s="10" t="s">
        <v>698</v>
      </c>
      <c r="E536" s="11" t="s">
        <v>1418</v>
      </c>
    </row>
    <row r="537" spans="2:5" x14ac:dyDescent="0.25">
      <c r="C537" s="10" t="s">
        <v>1419</v>
      </c>
    </row>
    <row r="538" spans="2:5" x14ac:dyDescent="0.25">
      <c r="C538" s="10" t="s">
        <v>1422</v>
      </c>
    </row>
    <row r="540" spans="2:5" x14ac:dyDescent="0.25">
      <c r="B540" s="8" t="s">
        <v>1424</v>
      </c>
      <c r="C540" s="10" t="s">
        <v>1413</v>
      </c>
      <c r="D540" s="10" t="s">
        <v>1366</v>
      </c>
      <c r="E540" s="11" t="s">
        <v>1425</v>
      </c>
    </row>
    <row r="543" spans="2:5" x14ac:dyDescent="0.25">
      <c r="B543" s="8" t="s">
        <v>1430</v>
      </c>
      <c r="C543" s="10" t="s">
        <v>1431</v>
      </c>
      <c r="D543" s="10" t="s">
        <v>698</v>
      </c>
      <c r="E543" s="11" t="s">
        <v>1434</v>
      </c>
    </row>
    <row r="544" spans="2:5" x14ac:dyDescent="0.25">
      <c r="C544" s="10" t="s">
        <v>1432</v>
      </c>
    </row>
    <row r="545" spans="2:5" x14ac:dyDescent="0.25">
      <c r="C545" s="10" t="s">
        <v>1433</v>
      </c>
    </row>
    <row r="547" spans="2:5" x14ac:dyDescent="0.25">
      <c r="B547" s="8" t="s">
        <v>1435</v>
      </c>
      <c r="C547" s="10" t="s">
        <v>1436</v>
      </c>
      <c r="D547" s="10" t="s">
        <v>698</v>
      </c>
      <c r="E547" s="11" t="s">
        <v>1438</v>
      </c>
    </row>
    <row r="548" spans="2:5" x14ac:dyDescent="0.25">
      <c r="C548" s="10" t="s">
        <v>1437</v>
      </c>
    </row>
    <row r="549" spans="2:5" x14ac:dyDescent="0.25">
      <c r="D549" s="10" t="s">
        <v>698</v>
      </c>
      <c r="E549" s="11" t="s">
        <v>1451</v>
      </c>
    </row>
    <row r="550" spans="2:5" x14ac:dyDescent="0.25">
      <c r="B550" s="8" t="s">
        <v>1447</v>
      </c>
      <c r="C550" s="10" t="s">
        <v>1448</v>
      </c>
    </row>
    <row r="551" spans="2:5" x14ac:dyDescent="0.25">
      <c r="C551" s="10" t="s">
        <v>1449</v>
      </c>
    </row>
    <row r="552" spans="2:5" x14ac:dyDescent="0.25">
      <c r="C552" s="10" t="s">
        <v>1450</v>
      </c>
    </row>
    <row r="554" spans="2:5" x14ac:dyDescent="0.25">
      <c r="B554" s="8" t="s">
        <v>1460</v>
      </c>
      <c r="C554" s="10" t="s">
        <v>1461</v>
      </c>
      <c r="D554" s="10" t="s">
        <v>698</v>
      </c>
      <c r="E554" s="11" t="s">
        <v>1470</v>
      </c>
    </row>
    <row r="555" spans="2:5" x14ac:dyDescent="0.25">
      <c r="C555" s="10" t="s">
        <v>1462</v>
      </c>
    </row>
    <row r="556" spans="2:5" x14ac:dyDescent="0.25">
      <c r="C556" s="10" t="s">
        <v>1463</v>
      </c>
    </row>
    <row r="557" spans="2:5" x14ac:dyDescent="0.25">
      <c r="C557" s="10" t="s">
        <v>1464</v>
      </c>
    </row>
    <row r="558" spans="2:5" x14ac:dyDescent="0.25">
      <c r="C558" s="10" t="s">
        <v>1465</v>
      </c>
    </row>
    <row r="559" spans="2:5" x14ac:dyDescent="0.25">
      <c r="C559" s="10" t="s">
        <v>1466</v>
      </c>
    </row>
    <row r="560" spans="2:5" x14ac:dyDescent="0.25">
      <c r="C560" s="10" t="s">
        <v>1467</v>
      </c>
    </row>
    <row r="561" spans="2:5" x14ac:dyDescent="0.25">
      <c r="C561" s="10" t="s">
        <v>1468</v>
      </c>
    </row>
    <row r="562" spans="2:5" x14ac:dyDescent="0.25">
      <c r="C562" s="10" t="s">
        <v>1469</v>
      </c>
    </row>
    <row r="564" spans="2:5" x14ac:dyDescent="0.25">
      <c r="B564" s="8" t="s">
        <v>1460</v>
      </c>
      <c r="C564" s="10" t="s">
        <v>1471</v>
      </c>
      <c r="D564" s="10" t="s">
        <v>698</v>
      </c>
      <c r="E564" s="11" t="s">
        <v>1473</v>
      </c>
    </row>
    <row r="565" spans="2:5" x14ac:dyDescent="0.25">
      <c r="C565" s="10" t="s">
        <v>1472</v>
      </c>
    </row>
    <row r="567" spans="2:5" x14ac:dyDescent="0.25">
      <c r="B567" s="8" t="s">
        <v>1481</v>
      </c>
      <c r="C567" s="10" t="s">
        <v>1482</v>
      </c>
      <c r="D567" s="10" t="s">
        <v>698</v>
      </c>
      <c r="E567" s="11" t="s">
        <v>1485</v>
      </c>
    </row>
    <row r="568" spans="2:5" x14ac:dyDescent="0.25">
      <c r="C568" s="10" t="s">
        <v>1483</v>
      </c>
    </row>
    <row r="569" spans="2:5" x14ac:dyDescent="0.25">
      <c r="C569" s="10" t="s">
        <v>1484</v>
      </c>
    </row>
    <row r="570" spans="2:5" x14ac:dyDescent="0.25">
      <c r="C570" s="10" t="s">
        <v>1486</v>
      </c>
    </row>
    <row r="571" spans="2:5" x14ac:dyDescent="0.25">
      <c r="C571" s="10" t="s">
        <v>1487</v>
      </c>
    </row>
    <row r="573" spans="2:5" x14ac:dyDescent="0.25">
      <c r="B573" s="8">
        <v>4.3</v>
      </c>
      <c r="C573" s="10" t="s">
        <v>1488</v>
      </c>
      <c r="D573" s="10" t="s">
        <v>698</v>
      </c>
      <c r="E573" s="11" t="s">
        <v>1489</v>
      </c>
    </row>
    <row r="575" spans="2:5" x14ac:dyDescent="0.25">
      <c r="B575" s="8" t="s">
        <v>1835</v>
      </c>
      <c r="C575" s="10" t="s">
        <v>1838</v>
      </c>
    </row>
    <row r="576" spans="2:5" x14ac:dyDescent="0.25">
      <c r="C576" s="10" t="s">
        <v>1836</v>
      </c>
      <c r="D576" s="10" t="s">
        <v>1366</v>
      </c>
      <c r="E576" s="11" t="s">
        <v>1837</v>
      </c>
    </row>
    <row r="578" spans="2:5" x14ac:dyDescent="0.25">
      <c r="B578" s="8" t="s">
        <v>1835</v>
      </c>
      <c r="C578" s="10" t="s">
        <v>1840</v>
      </c>
      <c r="D578" s="10" t="s">
        <v>1366</v>
      </c>
      <c r="E578" s="11" t="s">
        <v>1841</v>
      </c>
    </row>
    <row r="580" spans="2:5" x14ac:dyDescent="0.25">
      <c r="B580" s="8" t="s">
        <v>1852</v>
      </c>
      <c r="C580" s="10" t="s">
        <v>1853</v>
      </c>
      <c r="D580" s="10" t="s">
        <v>1366</v>
      </c>
      <c r="E580" s="11" t="s">
        <v>1854</v>
      </c>
    </row>
    <row r="582" spans="2:5" x14ac:dyDescent="0.25">
      <c r="B582" s="8" t="s">
        <v>1852</v>
      </c>
      <c r="C582" s="10" t="s">
        <v>1855</v>
      </c>
      <c r="D582" s="10" t="s">
        <v>1366</v>
      </c>
      <c r="E582" s="11" t="s">
        <v>1856</v>
      </c>
    </row>
    <row r="584" spans="2:5" x14ac:dyDescent="0.25">
      <c r="B584" s="8" t="s">
        <v>1873</v>
      </c>
      <c r="C584" s="10" t="s">
        <v>1874</v>
      </c>
    </row>
    <row r="585" spans="2:5" x14ac:dyDescent="0.25">
      <c r="C585" s="10" t="s">
        <v>1875</v>
      </c>
      <c r="D585" s="10" t="s">
        <v>1366</v>
      </c>
      <c r="E585" s="11" t="s">
        <v>1876</v>
      </c>
    </row>
    <row r="587" spans="2:5" x14ac:dyDescent="0.25">
      <c r="B587" s="8" t="s">
        <v>1881</v>
      </c>
      <c r="C587" s="10" t="s">
        <v>1882</v>
      </c>
      <c r="D587" s="10" t="s">
        <v>1366</v>
      </c>
      <c r="E587" s="11" t="s">
        <v>1883</v>
      </c>
    </row>
    <row r="589" spans="2:5" x14ac:dyDescent="0.25">
      <c r="B589" s="8" t="s">
        <v>1884</v>
      </c>
      <c r="C589" s="10" t="s">
        <v>1885</v>
      </c>
      <c r="D589" s="10" t="s">
        <v>1366</v>
      </c>
      <c r="E589" s="11" t="s">
        <v>1886</v>
      </c>
    </row>
    <row r="591" spans="2:5" x14ac:dyDescent="0.25">
      <c r="B591" s="8" t="s">
        <v>1887</v>
      </c>
      <c r="C591" s="10" t="s">
        <v>1888</v>
      </c>
      <c r="D591" s="10" t="s">
        <v>1366</v>
      </c>
      <c r="E591" s="11" t="s">
        <v>1889</v>
      </c>
    </row>
    <row r="594" spans="2:5" x14ac:dyDescent="0.25">
      <c r="B594" s="8" t="s">
        <v>1900</v>
      </c>
      <c r="C594" s="10" t="s">
        <v>1901</v>
      </c>
      <c r="D594" s="10" t="s">
        <v>698</v>
      </c>
      <c r="E594" s="11" t="s">
        <v>1902</v>
      </c>
    </row>
    <row r="596" spans="2:5" x14ac:dyDescent="0.25">
      <c r="B596" s="8" t="s">
        <v>1904</v>
      </c>
      <c r="C596" s="10" t="s">
        <v>1905</v>
      </c>
    </row>
    <row r="597" spans="2:5" x14ac:dyDescent="0.25">
      <c r="C597" s="10" t="s">
        <v>1906</v>
      </c>
      <c r="D597" s="10" t="s">
        <v>1366</v>
      </c>
      <c r="E597" s="11" t="s">
        <v>1907</v>
      </c>
    </row>
    <row r="599" spans="2:5" x14ac:dyDescent="0.25">
      <c r="B599" s="8" t="s">
        <v>1913</v>
      </c>
      <c r="C599" s="10" t="s">
        <v>1912</v>
      </c>
    </row>
    <row r="600" spans="2:5" x14ac:dyDescent="0.25">
      <c r="C600" s="10" t="s">
        <v>1909</v>
      </c>
    </row>
    <row r="601" spans="2:5" x14ac:dyDescent="0.25">
      <c r="C601" s="10" t="s">
        <v>1910</v>
      </c>
    </row>
    <row r="602" spans="2:5" x14ac:dyDescent="0.25">
      <c r="C602" s="10" t="s">
        <v>1911</v>
      </c>
    </row>
    <row r="603" spans="2:5" x14ac:dyDescent="0.25">
      <c r="C603" s="10" t="s">
        <v>1915</v>
      </c>
    </row>
    <row r="604" spans="2:5" x14ac:dyDescent="0.25">
      <c r="C604" s="10" t="s">
        <v>1916</v>
      </c>
      <c r="D604" s="10" t="s">
        <v>1366</v>
      </c>
      <c r="E604" s="11" t="s">
        <v>1914</v>
      </c>
    </row>
    <row r="606" spans="2:5" x14ac:dyDescent="0.25">
      <c r="B606" s="8" t="s">
        <v>1921</v>
      </c>
      <c r="C606" s="10" t="s">
        <v>1912</v>
      </c>
    </row>
    <row r="607" spans="2:5" x14ac:dyDescent="0.25">
      <c r="C607" s="10" t="s">
        <v>1922</v>
      </c>
    </row>
    <row r="608" spans="2:5" x14ac:dyDescent="0.25">
      <c r="C608" s="10" t="s">
        <v>1923</v>
      </c>
    </row>
    <row r="609" spans="2:5" x14ac:dyDescent="0.25">
      <c r="C609" s="10" t="s">
        <v>1924</v>
      </c>
      <c r="D609" s="10" t="s">
        <v>1366</v>
      </c>
      <c r="E609" s="11" t="s">
        <v>1925</v>
      </c>
    </row>
    <row r="611" spans="2:5" x14ac:dyDescent="0.25">
      <c r="B611" s="8" t="s">
        <v>1926</v>
      </c>
      <c r="C611" s="10" t="s">
        <v>1927</v>
      </c>
    </row>
    <row r="612" spans="2:5" x14ac:dyDescent="0.25">
      <c r="C612" s="10" t="s">
        <v>1928</v>
      </c>
      <c r="D612" s="10" t="s">
        <v>1366</v>
      </c>
      <c r="E612" s="11" t="s">
        <v>1929</v>
      </c>
    </row>
    <row r="614" spans="2:5" x14ac:dyDescent="0.25">
      <c r="B614" s="8" t="s">
        <v>1930</v>
      </c>
      <c r="C614" s="10" t="s">
        <v>1931</v>
      </c>
    </row>
    <row r="615" spans="2:5" x14ac:dyDescent="0.25">
      <c r="C615" s="10" t="s">
        <v>1932</v>
      </c>
    </row>
    <row r="616" spans="2:5" x14ac:dyDescent="0.25">
      <c r="C616" s="10" t="s">
        <v>1933</v>
      </c>
    </row>
    <row r="617" spans="2:5" x14ac:dyDescent="0.25">
      <c r="C617" s="10" t="s">
        <v>1938</v>
      </c>
    </row>
    <row r="618" spans="2:5" x14ac:dyDescent="0.25">
      <c r="C618" s="10" t="s">
        <v>1939</v>
      </c>
      <c r="D618" s="10" t="s">
        <v>1366</v>
      </c>
      <c r="E618" s="11" t="s">
        <v>1934</v>
      </c>
    </row>
    <row r="620" spans="2:5" x14ac:dyDescent="0.25">
      <c r="B620" s="8" t="s">
        <v>1942</v>
      </c>
      <c r="C620" s="10" t="s">
        <v>1348</v>
      </c>
      <c r="D620" s="10" t="s">
        <v>1366</v>
      </c>
      <c r="E620" s="11" t="s">
        <v>1943</v>
      </c>
    </row>
    <row r="622" spans="2:5" x14ac:dyDescent="0.25">
      <c r="B622" s="8" t="s">
        <v>1949</v>
      </c>
      <c r="C622" s="10" t="s">
        <v>1950</v>
      </c>
    </row>
    <row r="623" spans="2:5" x14ac:dyDescent="0.25">
      <c r="C623" s="10" t="s">
        <v>1951</v>
      </c>
    </row>
    <row r="624" spans="2:5" x14ac:dyDescent="0.25">
      <c r="C624" s="10" t="s">
        <v>1952</v>
      </c>
    </row>
    <row r="625" spans="2:5" x14ac:dyDescent="0.25">
      <c r="C625" s="10" t="s">
        <v>1953</v>
      </c>
      <c r="D625" s="10" t="s">
        <v>1366</v>
      </c>
      <c r="E625" s="11" t="s">
        <v>1954</v>
      </c>
    </row>
    <row r="627" spans="2:5" x14ac:dyDescent="0.25">
      <c r="B627" s="8" t="s">
        <v>1956</v>
      </c>
      <c r="C627" s="10" t="s">
        <v>1957</v>
      </c>
    </row>
    <row r="628" spans="2:5" x14ac:dyDescent="0.25">
      <c r="C628" s="10" t="s">
        <v>1958</v>
      </c>
    </row>
    <row r="629" spans="2:5" x14ac:dyDescent="0.25">
      <c r="C629" s="10" t="s">
        <v>1959</v>
      </c>
      <c r="D629" s="10" t="s">
        <v>1366</v>
      </c>
      <c r="E629" s="11" t="s">
        <v>1960</v>
      </c>
    </row>
    <row r="631" spans="2:5" x14ac:dyDescent="0.25">
      <c r="B631" s="8" t="s">
        <v>1956</v>
      </c>
      <c r="C631" s="10" t="s">
        <v>1961</v>
      </c>
      <c r="D631" s="10" t="s">
        <v>1366</v>
      </c>
      <c r="E631" s="11" t="s">
        <v>1425</v>
      </c>
    </row>
  </sheetData>
  <customSheetViews>
    <customSheetView guid="{BE55F258-44BC-4FB6-88BE-39351DF10384}" state="hidden">
      <pane ySplit="7" topLeftCell="A26" activePane="bottomLeft" state="frozen"/>
      <selection pane="bottomLeft" activeCell="B48" sqref="B48"/>
      <pageMargins left="0.7" right="0.7" top="0.75" bottom="0.75" header="0.3" footer="0.3"/>
      <pageSetup orientation="portrait" r:id="rId1"/>
    </customSheetView>
  </customSheetViews>
  <pageMargins left="0.7" right="0.7" top="0.75" bottom="0.75" header="0.3" footer="0.3"/>
  <pageSetup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
    <tabColor rgb="FFFF0000"/>
  </sheetPr>
  <dimension ref="A1:K47"/>
  <sheetViews>
    <sheetView workbookViewId="0">
      <selection activeCell="N10" sqref="N10"/>
    </sheetView>
  </sheetViews>
  <sheetFormatPr defaultColWidth="8.85546875" defaultRowHeight="16.5" x14ac:dyDescent="0.3"/>
  <cols>
    <col min="1" max="1" width="17.5703125" style="5" customWidth="1"/>
    <col min="2" max="2" width="16.140625" style="5" bestFit="1" customWidth="1"/>
    <col min="3" max="3" width="11.85546875" style="5" bestFit="1" customWidth="1"/>
    <col min="4" max="4" width="8.85546875" style="5"/>
    <col min="5" max="5" width="11.42578125" style="5" bestFit="1" customWidth="1"/>
    <col min="6" max="6" width="9.140625" style="5" bestFit="1" customWidth="1"/>
    <col min="7" max="7" width="9.85546875" style="5" customWidth="1"/>
    <col min="8" max="8" width="8.85546875" style="5"/>
    <col min="9" max="10" width="9.85546875" style="5" bestFit="1" customWidth="1"/>
    <col min="11" max="11" width="59.5703125" style="5" bestFit="1" customWidth="1"/>
    <col min="12" max="16384" width="8.85546875" style="5"/>
  </cols>
  <sheetData>
    <row r="1" spans="1:11" s="35" customFormat="1" ht="50.25" thickBot="1" x14ac:dyDescent="0.35">
      <c r="A1" s="35" t="s">
        <v>9</v>
      </c>
      <c r="B1" s="35" t="s">
        <v>13</v>
      </c>
      <c r="C1" s="35" t="s">
        <v>192</v>
      </c>
      <c r="D1" s="35" t="s">
        <v>161</v>
      </c>
      <c r="E1" s="35" t="s">
        <v>165</v>
      </c>
      <c r="F1" s="35" t="s">
        <v>162</v>
      </c>
      <c r="G1" s="35" t="s">
        <v>166</v>
      </c>
      <c r="H1" s="35" t="s">
        <v>163</v>
      </c>
      <c r="I1" s="35" t="s">
        <v>93</v>
      </c>
      <c r="J1" s="35" t="s">
        <v>92</v>
      </c>
      <c r="K1" s="35" t="s">
        <v>167</v>
      </c>
    </row>
    <row r="2" spans="1:11" ht="49.5" x14ac:dyDescent="0.3">
      <c r="A2" s="1455" t="s">
        <v>121</v>
      </c>
      <c r="B2" s="1453" t="s">
        <v>62</v>
      </c>
      <c r="C2" s="29" t="s">
        <v>11</v>
      </c>
      <c r="D2" s="46" t="s">
        <v>164</v>
      </c>
      <c r="E2" s="33" t="s">
        <v>90</v>
      </c>
      <c r="F2" s="37" t="s">
        <v>90</v>
      </c>
      <c r="G2" s="33" t="s">
        <v>89</v>
      </c>
      <c r="H2" s="42" t="s">
        <v>89</v>
      </c>
      <c r="I2" s="44" t="str">
        <f t="shared" ref="I2:I11" si="0">IF(E2=F2,"No Change","Change")</f>
        <v>No Change</v>
      </c>
      <c r="J2" s="5" t="str">
        <f t="shared" ref="J2:J11" si="1">IF(G2=H2,"No Change","Change")</f>
        <v>No Change</v>
      </c>
    </row>
    <row r="3" spans="1:11" ht="50.25" thickBot="1" x14ac:dyDescent="0.35">
      <c r="A3" s="1456"/>
      <c r="B3" s="1458"/>
      <c r="C3" s="31" t="s">
        <v>71</v>
      </c>
      <c r="D3" s="47" t="s">
        <v>164</v>
      </c>
      <c r="E3" s="34" t="s">
        <v>88</v>
      </c>
      <c r="F3" s="40" t="s">
        <v>88</v>
      </c>
      <c r="G3" s="34" t="s">
        <v>87</v>
      </c>
      <c r="H3" s="43" t="s">
        <v>87</v>
      </c>
      <c r="I3" s="44" t="str">
        <f t="shared" si="0"/>
        <v>No Change</v>
      </c>
      <c r="J3" s="5" t="str">
        <f t="shared" si="1"/>
        <v>No Change</v>
      </c>
    </row>
    <row r="4" spans="1:11" ht="20.45" customHeight="1" x14ac:dyDescent="0.3">
      <c r="A4" s="1456"/>
      <c r="B4" s="1453" t="s">
        <v>70</v>
      </c>
      <c r="C4" s="29" t="s">
        <v>11</v>
      </c>
      <c r="D4" s="36" t="s">
        <v>168</v>
      </c>
      <c r="E4" s="30" t="s">
        <v>86</v>
      </c>
      <c r="F4" s="36" t="s">
        <v>86</v>
      </c>
      <c r="G4" s="30" t="s">
        <v>85</v>
      </c>
      <c r="H4" s="38" t="s">
        <v>85</v>
      </c>
      <c r="I4" s="44" t="str">
        <f t="shared" si="0"/>
        <v>No Change</v>
      </c>
      <c r="J4" s="5" t="str">
        <f t="shared" si="1"/>
        <v>No Change</v>
      </c>
    </row>
    <row r="5" spans="1:11" ht="15" customHeight="1" thickBot="1" x14ac:dyDescent="0.35">
      <c r="A5" s="1456"/>
      <c r="B5" s="1454"/>
      <c r="C5" s="31" t="s">
        <v>71</v>
      </c>
      <c r="D5" s="39" t="s">
        <v>169</v>
      </c>
      <c r="E5" s="32" t="s">
        <v>86</v>
      </c>
      <c r="F5" s="39" t="s">
        <v>170</v>
      </c>
      <c r="G5" s="32" t="s">
        <v>85</v>
      </c>
      <c r="H5" s="41" t="s">
        <v>171</v>
      </c>
      <c r="I5" s="44" t="str">
        <f t="shared" si="0"/>
        <v>Change</v>
      </c>
      <c r="J5" s="5" t="str">
        <f t="shared" si="1"/>
        <v>Change</v>
      </c>
      <c r="K5" s="5" t="s">
        <v>203</v>
      </c>
    </row>
    <row r="6" spans="1:11" ht="18.600000000000001" customHeight="1" x14ac:dyDescent="0.3">
      <c r="A6" s="1456"/>
      <c r="B6" s="1453" t="s">
        <v>65</v>
      </c>
      <c r="C6" s="29" t="s">
        <v>11</v>
      </c>
      <c r="D6" s="36" t="s">
        <v>86</v>
      </c>
      <c r="E6" s="30" t="s">
        <v>86</v>
      </c>
      <c r="F6" s="36" t="s">
        <v>86</v>
      </c>
      <c r="G6" s="30" t="s">
        <v>85</v>
      </c>
      <c r="H6" s="38" t="s">
        <v>85</v>
      </c>
      <c r="I6" s="44" t="str">
        <f t="shared" si="0"/>
        <v>No Change</v>
      </c>
      <c r="J6" s="5" t="str">
        <f t="shared" si="1"/>
        <v>No Change</v>
      </c>
    </row>
    <row r="7" spans="1:11" ht="17.25" thickBot="1" x14ac:dyDescent="0.35">
      <c r="A7" s="1456"/>
      <c r="B7" s="1454"/>
      <c r="C7" s="31" t="s">
        <v>71</v>
      </c>
      <c r="D7" s="39" t="s">
        <v>169</v>
      </c>
      <c r="E7" s="32" t="s">
        <v>86</v>
      </c>
      <c r="F7" s="39" t="s">
        <v>172</v>
      </c>
      <c r="G7" s="32" t="s">
        <v>85</v>
      </c>
      <c r="H7" s="41" t="s">
        <v>173</v>
      </c>
      <c r="I7" s="44" t="str">
        <f t="shared" si="0"/>
        <v>Change</v>
      </c>
      <c r="J7" s="5" t="str">
        <f t="shared" si="1"/>
        <v>Change</v>
      </c>
      <c r="K7" s="5" t="s">
        <v>203</v>
      </c>
    </row>
    <row r="8" spans="1:11" x14ac:dyDescent="0.3">
      <c r="A8" s="1456"/>
      <c r="B8" s="1453" t="s">
        <v>66</v>
      </c>
      <c r="C8" s="29" t="s">
        <v>11</v>
      </c>
      <c r="D8" s="36" t="s">
        <v>174</v>
      </c>
      <c r="E8" s="30" t="s">
        <v>84</v>
      </c>
      <c r="F8" s="36" t="s">
        <v>174</v>
      </c>
      <c r="G8" s="30" t="s">
        <v>83</v>
      </c>
      <c r="H8" s="38" t="s">
        <v>177</v>
      </c>
      <c r="I8" s="44" t="str">
        <f t="shared" si="0"/>
        <v>Change</v>
      </c>
      <c r="J8" s="5" t="str">
        <f t="shared" si="1"/>
        <v>Change</v>
      </c>
      <c r="K8" s="5" t="s">
        <v>182</v>
      </c>
    </row>
    <row r="9" spans="1:11" ht="17.25" thickBot="1" x14ac:dyDescent="0.35">
      <c r="A9" s="1456"/>
      <c r="B9" s="1454"/>
      <c r="C9" s="31" t="s">
        <v>71</v>
      </c>
      <c r="D9" s="39" t="s">
        <v>175</v>
      </c>
      <c r="E9" s="32" t="s">
        <v>84</v>
      </c>
      <c r="F9" s="39" t="s">
        <v>176</v>
      </c>
      <c r="G9" s="32" t="s">
        <v>83</v>
      </c>
      <c r="H9" s="41" t="s">
        <v>178</v>
      </c>
      <c r="I9" s="44" t="str">
        <f t="shared" si="0"/>
        <v>Change</v>
      </c>
      <c r="J9" s="5" t="str">
        <f t="shared" si="1"/>
        <v>Change</v>
      </c>
      <c r="K9" s="5" t="s">
        <v>203</v>
      </c>
    </row>
    <row r="10" spans="1:11" x14ac:dyDescent="0.3">
      <c r="A10" s="1456"/>
      <c r="B10" s="1453" t="s">
        <v>94</v>
      </c>
      <c r="C10" s="29" t="s">
        <v>11</v>
      </c>
      <c r="D10" s="36" t="s">
        <v>82</v>
      </c>
      <c r="E10" s="30" t="s">
        <v>82</v>
      </c>
      <c r="F10" s="36" t="s">
        <v>82</v>
      </c>
      <c r="G10" s="30" t="s">
        <v>81</v>
      </c>
      <c r="H10" s="38" t="s">
        <v>81</v>
      </c>
      <c r="I10" s="44" t="str">
        <f t="shared" si="0"/>
        <v>No Change</v>
      </c>
      <c r="J10" s="5" t="str">
        <f t="shared" si="1"/>
        <v>No Change</v>
      </c>
    </row>
    <row r="11" spans="1:11" ht="17.25" thickBot="1" x14ac:dyDescent="0.35">
      <c r="A11" s="1457"/>
      <c r="B11" s="1454"/>
      <c r="C11" s="31" t="s">
        <v>71</v>
      </c>
      <c r="D11" s="39" t="s">
        <v>179</v>
      </c>
      <c r="E11" s="32" t="s">
        <v>82</v>
      </c>
      <c r="F11" s="39" t="s">
        <v>180</v>
      </c>
      <c r="G11" s="32" t="s">
        <v>81</v>
      </c>
      <c r="H11" s="41" t="s">
        <v>181</v>
      </c>
      <c r="I11" s="44" t="str">
        <f t="shared" si="0"/>
        <v>Change</v>
      </c>
      <c r="J11" s="5" t="str">
        <f t="shared" si="1"/>
        <v>Change</v>
      </c>
      <c r="K11" s="5" t="s">
        <v>203</v>
      </c>
    </row>
    <row r="12" spans="1:11" ht="27" customHeight="1" x14ac:dyDescent="0.3">
      <c r="A12" s="1452" t="s">
        <v>122</v>
      </c>
      <c r="B12" s="1453" t="s">
        <v>14</v>
      </c>
      <c r="C12" s="29" t="s">
        <v>11</v>
      </c>
      <c r="D12" s="46" t="s">
        <v>164</v>
      </c>
      <c r="E12" s="36" t="s">
        <v>183</v>
      </c>
      <c r="F12" s="45" t="s">
        <v>164</v>
      </c>
      <c r="G12" s="46" t="s">
        <v>164</v>
      </c>
      <c r="H12" s="48" t="s">
        <v>164</v>
      </c>
    </row>
    <row r="13" spans="1:11" ht="23.1" customHeight="1" thickBot="1" x14ac:dyDescent="0.35">
      <c r="A13" s="1452"/>
      <c r="B13" s="1454"/>
      <c r="C13" s="31" t="s">
        <v>71</v>
      </c>
      <c r="D13" s="47" t="s">
        <v>164</v>
      </c>
      <c r="E13" s="39" t="s">
        <v>183</v>
      </c>
      <c r="F13" s="45" t="s">
        <v>164</v>
      </c>
      <c r="G13" s="47" t="s">
        <v>164</v>
      </c>
      <c r="H13" s="49" t="s">
        <v>164</v>
      </c>
    </row>
    <row r="14" spans="1:11" x14ac:dyDescent="0.3">
      <c r="A14" s="1461" t="s">
        <v>188</v>
      </c>
      <c r="B14" s="1453" t="s">
        <v>62</v>
      </c>
      <c r="C14" s="29" t="s">
        <v>11</v>
      </c>
      <c r="D14" s="51" t="s">
        <v>164</v>
      </c>
      <c r="E14" s="51" t="s">
        <v>164</v>
      </c>
      <c r="F14" s="52" t="s">
        <v>183</v>
      </c>
      <c r="G14" s="51" t="s">
        <v>164</v>
      </c>
      <c r="H14" s="53" t="s">
        <v>164</v>
      </c>
    </row>
    <row r="15" spans="1:11" ht="17.25" thickBot="1" x14ac:dyDescent="0.35">
      <c r="A15" s="1462"/>
      <c r="B15" s="1458"/>
      <c r="C15" s="31" t="s">
        <v>71</v>
      </c>
      <c r="D15" s="54" t="s">
        <v>164</v>
      </c>
      <c r="E15" s="54" t="s">
        <v>164</v>
      </c>
      <c r="F15" s="55" t="s">
        <v>183</v>
      </c>
      <c r="G15" s="54" t="s">
        <v>164</v>
      </c>
      <c r="H15" s="56" t="s">
        <v>164</v>
      </c>
    </row>
    <row r="16" spans="1:11" x14ac:dyDescent="0.3">
      <c r="A16" s="1462"/>
      <c r="B16" s="1453" t="s">
        <v>70</v>
      </c>
      <c r="C16" s="29" t="s">
        <v>11</v>
      </c>
      <c r="D16" s="51" t="s">
        <v>164</v>
      </c>
      <c r="E16" s="51" t="s">
        <v>164</v>
      </c>
      <c r="F16" s="52" t="s">
        <v>185</v>
      </c>
      <c r="G16" s="51" t="s">
        <v>164</v>
      </c>
      <c r="H16" s="53" t="s">
        <v>164</v>
      </c>
    </row>
    <row r="17" spans="1:11" ht="17.25" thickBot="1" x14ac:dyDescent="0.35">
      <c r="A17" s="1462"/>
      <c r="B17" s="1454"/>
      <c r="C17" s="31" t="s">
        <v>71</v>
      </c>
      <c r="D17" s="54" t="s">
        <v>164</v>
      </c>
      <c r="E17" s="54" t="s">
        <v>164</v>
      </c>
      <c r="F17" s="57" t="s">
        <v>186</v>
      </c>
      <c r="G17" s="54" t="s">
        <v>164</v>
      </c>
      <c r="H17" s="56" t="s">
        <v>164</v>
      </c>
    </row>
    <row r="18" spans="1:11" x14ac:dyDescent="0.3">
      <c r="A18" s="1462"/>
      <c r="B18" s="1459" t="s">
        <v>184</v>
      </c>
      <c r="C18" s="29" t="s">
        <v>11</v>
      </c>
      <c r="D18" s="51" t="s">
        <v>164</v>
      </c>
      <c r="E18" s="51" t="s">
        <v>164</v>
      </c>
      <c r="F18" s="52" t="s">
        <v>185</v>
      </c>
      <c r="G18" s="51" t="s">
        <v>164</v>
      </c>
      <c r="H18" s="53" t="s">
        <v>164</v>
      </c>
    </row>
    <row r="19" spans="1:11" ht="17.25" thickBot="1" x14ac:dyDescent="0.35">
      <c r="A19" s="1463"/>
      <c r="B19" s="1460"/>
      <c r="C19" s="31" t="s">
        <v>71</v>
      </c>
      <c r="D19" s="54" t="s">
        <v>164</v>
      </c>
      <c r="E19" s="54" t="s">
        <v>164</v>
      </c>
      <c r="F19" s="55" t="s">
        <v>187</v>
      </c>
      <c r="G19" s="54" t="s">
        <v>164</v>
      </c>
      <c r="H19" s="56" t="s">
        <v>164</v>
      </c>
    </row>
    <row r="20" spans="1:11" x14ac:dyDescent="0.3">
      <c r="A20" s="1461" t="s">
        <v>189</v>
      </c>
      <c r="B20" s="1453" t="s">
        <v>62</v>
      </c>
      <c r="C20" s="29" t="s">
        <v>11</v>
      </c>
      <c r="D20" s="51" t="s">
        <v>164</v>
      </c>
      <c r="E20" s="51" t="s">
        <v>164</v>
      </c>
      <c r="F20" s="52" t="s">
        <v>183</v>
      </c>
      <c r="G20" s="51" t="s">
        <v>164</v>
      </c>
      <c r="H20" s="53" t="s">
        <v>164</v>
      </c>
    </row>
    <row r="21" spans="1:11" ht="17.25" thickBot="1" x14ac:dyDescent="0.35">
      <c r="A21" s="1462"/>
      <c r="B21" s="1458"/>
      <c r="C21" s="31" t="s">
        <v>71</v>
      </c>
      <c r="D21" s="54" t="s">
        <v>164</v>
      </c>
      <c r="E21" s="54" t="s">
        <v>164</v>
      </c>
      <c r="F21" s="55" t="s">
        <v>183</v>
      </c>
      <c r="G21" s="54" t="s">
        <v>164</v>
      </c>
      <c r="H21" s="56" t="s">
        <v>164</v>
      </c>
    </row>
    <row r="22" spans="1:11" x14ac:dyDescent="0.3">
      <c r="A22" s="1462"/>
      <c r="B22" s="1453" t="s">
        <v>70</v>
      </c>
      <c r="C22" s="29" t="s">
        <v>11</v>
      </c>
      <c r="D22" s="51" t="s">
        <v>164</v>
      </c>
      <c r="E22" s="51" t="s">
        <v>164</v>
      </c>
      <c r="F22" s="52" t="s">
        <v>185</v>
      </c>
      <c r="G22" s="51" t="s">
        <v>164</v>
      </c>
      <c r="H22" s="53" t="s">
        <v>164</v>
      </c>
    </row>
    <row r="23" spans="1:11" ht="17.25" thickBot="1" x14ac:dyDescent="0.35">
      <c r="A23" s="1462"/>
      <c r="B23" s="1454"/>
      <c r="C23" s="31" t="s">
        <v>71</v>
      </c>
      <c r="D23" s="54" t="s">
        <v>164</v>
      </c>
      <c r="E23" s="54" t="s">
        <v>164</v>
      </c>
      <c r="F23" s="57" t="s">
        <v>186</v>
      </c>
      <c r="G23" s="54" t="s">
        <v>164</v>
      </c>
      <c r="H23" s="56" t="s">
        <v>164</v>
      </c>
    </row>
    <row r="24" spans="1:11" x14ac:dyDescent="0.3">
      <c r="A24" s="1462"/>
      <c r="B24" s="1459" t="s">
        <v>184</v>
      </c>
      <c r="C24" s="29" t="s">
        <v>11</v>
      </c>
      <c r="D24" s="51" t="s">
        <v>164</v>
      </c>
      <c r="E24" s="51" t="s">
        <v>164</v>
      </c>
      <c r="F24" s="52" t="s">
        <v>190</v>
      </c>
      <c r="G24" s="51" t="s">
        <v>164</v>
      </c>
      <c r="H24" s="53" t="s">
        <v>164</v>
      </c>
    </row>
    <row r="25" spans="1:11" ht="17.25" thickBot="1" x14ac:dyDescent="0.35">
      <c r="A25" s="1463"/>
      <c r="B25" s="1460"/>
      <c r="C25" s="31" t="s">
        <v>71</v>
      </c>
      <c r="D25" s="54" t="s">
        <v>164</v>
      </c>
      <c r="E25" s="54" t="s">
        <v>164</v>
      </c>
      <c r="F25" s="55" t="s">
        <v>191</v>
      </c>
      <c r="G25" s="54" t="s">
        <v>164</v>
      </c>
      <c r="H25" s="56" t="s">
        <v>164</v>
      </c>
    </row>
    <row r="28" spans="1:11" ht="66.75" thickBot="1" x14ac:dyDescent="0.35">
      <c r="A28" s="35" t="s">
        <v>9</v>
      </c>
      <c r="B28" s="35" t="s">
        <v>13</v>
      </c>
      <c r="C28" s="35" t="s">
        <v>192</v>
      </c>
      <c r="D28" s="35" t="s">
        <v>193</v>
      </c>
      <c r="E28" s="35" t="s">
        <v>165</v>
      </c>
      <c r="F28" s="35" t="s">
        <v>162</v>
      </c>
      <c r="G28" s="35" t="s">
        <v>166</v>
      </c>
      <c r="H28" s="35" t="s">
        <v>163</v>
      </c>
    </row>
    <row r="29" spans="1:11" ht="66" x14ac:dyDescent="0.3">
      <c r="A29" s="1455" t="s">
        <v>67</v>
      </c>
      <c r="B29" s="1453" t="s">
        <v>62</v>
      </c>
      <c r="C29" s="58" t="s">
        <v>11</v>
      </c>
      <c r="D29" s="36"/>
      <c r="E29" s="46" t="s">
        <v>164</v>
      </c>
      <c r="F29" s="59" t="s">
        <v>202</v>
      </c>
      <c r="G29" s="69" t="s">
        <v>202</v>
      </c>
      <c r="H29" s="60" t="s">
        <v>201</v>
      </c>
      <c r="I29" s="44" t="str">
        <f>IF(F29=G29,"No Change","Change")</f>
        <v>No Change</v>
      </c>
    </row>
    <row r="30" spans="1:11" ht="66.75" thickBot="1" x14ac:dyDescent="0.35">
      <c r="A30" s="1456"/>
      <c r="B30" s="1458"/>
      <c r="C30" s="61" t="s">
        <v>71</v>
      </c>
      <c r="D30" s="39"/>
      <c r="E30" s="47" t="s">
        <v>164</v>
      </c>
      <c r="F30" s="62" t="s">
        <v>79</v>
      </c>
      <c r="G30" s="70" t="s">
        <v>79</v>
      </c>
      <c r="H30" s="50" t="s">
        <v>200</v>
      </c>
      <c r="I30" s="44" t="str">
        <f>IF(F30=G30,"No Change","Change")</f>
        <v>No Change</v>
      </c>
    </row>
    <row r="31" spans="1:11" ht="33" x14ac:dyDescent="0.3">
      <c r="A31" s="1456"/>
      <c r="B31" s="1453" t="s">
        <v>78</v>
      </c>
      <c r="C31" s="58" t="s">
        <v>11</v>
      </c>
      <c r="D31" s="36" t="s">
        <v>194</v>
      </c>
      <c r="E31" s="46" t="s">
        <v>164</v>
      </c>
      <c r="F31" s="1464" t="s">
        <v>204</v>
      </c>
      <c r="G31" s="69" t="s">
        <v>77</v>
      </c>
      <c r="H31" s="48" t="s">
        <v>164</v>
      </c>
      <c r="I31" s="44" t="str">
        <f t="shared" ref="I31:I37" si="2">IF(F31=G31,"No Change","Change")</f>
        <v>Change</v>
      </c>
      <c r="K31" s="5" t="s">
        <v>182</v>
      </c>
    </row>
    <row r="32" spans="1:11" ht="33.75" thickBot="1" x14ac:dyDescent="0.35">
      <c r="A32" s="1456"/>
      <c r="B32" s="1454"/>
      <c r="C32" s="61" t="s">
        <v>71</v>
      </c>
      <c r="D32" s="39" t="s">
        <v>195</v>
      </c>
      <c r="E32" s="47" t="s">
        <v>164</v>
      </c>
      <c r="F32" s="1465"/>
      <c r="G32" s="70" t="s">
        <v>77</v>
      </c>
      <c r="H32" s="49" t="s">
        <v>164</v>
      </c>
      <c r="I32" s="44" t="str">
        <f t="shared" si="2"/>
        <v>Change</v>
      </c>
      <c r="K32" s="5" t="s">
        <v>203</v>
      </c>
    </row>
    <row r="33" spans="1:11" ht="33" x14ac:dyDescent="0.3">
      <c r="A33" s="1456"/>
      <c r="B33" s="1453" t="s">
        <v>65</v>
      </c>
      <c r="C33" s="58" t="s">
        <v>11</v>
      </c>
      <c r="D33" s="36" t="s">
        <v>196</v>
      </c>
      <c r="E33" s="46" t="s">
        <v>164</v>
      </c>
      <c r="F33" s="1464" t="s">
        <v>205</v>
      </c>
      <c r="G33" s="69" t="s">
        <v>76</v>
      </c>
      <c r="H33" s="48" t="s">
        <v>164</v>
      </c>
      <c r="I33" s="44" t="str">
        <f t="shared" si="2"/>
        <v>Change</v>
      </c>
      <c r="K33" s="5" t="s">
        <v>182</v>
      </c>
    </row>
    <row r="34" spans="1:11" ht="33.75" thickBot="1" x14ac:dyDescent="0.35">
      <c r="A34" s="1456"/>
      <c r="B34" s="1454"/>
      <c r="C34" s="61" t="s">
        <v>71</v>
      </c>
      <c r="D34" s="39" t="s">
        <v>197</v>
      </c>
      <c r="E34" s="47" t="s">
        <v>164</v>
      </c>
      <c r="F34" s="1465"/>
      <c r="G34" s="70" t="s">
        <v>76</v>
      </c>
      <c r="H34" s="49" t="s">
        <v>164</v>
      </c>
      <c r="I34" s="44" t="str">
        <f t="shared" si="2"/>
        <v>Change</v>
      </c>
      <c r="K34" s="5" t="s">
        <v>203</v>
      </c>
    </row>
    <row r="35" spans="1:11" ht="33" x14ac:dyDescent="0.3">
      <c r="A35" s="1456"/>
      <c r="B35" s="1453" t="s">
        <v>66</v>
      </c>
      <c r="C35" s="58" t="s">
        <v>11</v>
      </c>
      <c r="D35" s="36" t="s">
        <v>198</v>
      </c>
      <c r="E35" s="46" t="s">
        <v>164</v>
      </c>
      <c r="F35" s="1464" t="s">
        <v>206</v>
      </c>
      <c r="G35" s="69" t="s">
        <v>75</v>
      </c>
      <c r="H35" s="48" t="s">
        <v>164</v>
      </c>
      <c r="I35" s="44" t="str">
        <f t="shared" si="2"/>
        <v>Change</v>
      </c>
      <c r="K35" s="5" t="s">
        <v>182</v>
      </c>
    </row>
    <row r="36" spans="1:11" ht="33.75" thickBot="1" x14ac:dyDescent="0.35">
      <c r="A36" s="1457"/>
      <c r="B36" s="1454"/>
      <c r="C36" s="61" t="s">
        <v>71</v>
      </c>
      <c r="D36" s="39" t="s">
        <v>199</v>
      </c>
      <c r="E36" s="47" t="s">
        <v>164</v>
      </c>
      <c r="F36" s="1465"/>
      <c r="G36" s="70" t="s">
        <v>75</v>
      </c>
      <c r="H36" s="49" t="s">
        <v>164</v>
      </c>
      <c r="I36" s="44" t="str">
        <f t="shared" si="2"/>
        <v>Change</v>
      </c>
      <c r="K36" s="5" t="s">
        <v>203</v>
      </c>
    </row>
    <row r="37" spans="1:11" ht="33.75" thickBot="1" x14ac:dyDescent="0.35">
      <c r="A37" s="68" t="s">
        <v>69</v>
      </c>
      <c r="B37" s="27" t="s">
        <v>68</v>
      </c>
      <c r="C37" s="63" t="s">
        <v>18</v>
      </c>
      <c r="D37" s="64" t="s">
        <v>207</v>
      </c>
      <c r="E37" s="65" t="s">
        <v>164</v>
      </c>
      <c r="F37" s="66" t="s">
        <v>208</v>
      </c>
      <c r="G37" s="71" t="s">
        <v>208</v>
      </c>
      <c r="H37" s="67" t="s">
        <v>164</v>
      </c>
      <c r="I37" s="44" t="str">
        <f t="shared" si="2"/>
        <v>No Change</v>
      </c>
    </row>
    <row r="39" spans="1:11" ht="66.75" thickBot="1" x14ac:dyDescent="0.35">
      <c r="A39" s="35" t="s">
        <v>9</v>
      </c>
      <c r="B39" s="35" t="s">
        <v>13</v>
      </c>
      <c r="C39" s="35" t="s">
        <v>192</v>
      </c>
      <c r="D39" s="35" t="s">
        <v>193</v>
      </c>
      <c r="E39" s="35" t="s">
        <v>165</v>
      </c>
      <c r="F39" s="35" t="s">
        <v>162</v>
      </c>
      <c r="G39" s="35" t="s">
        <v>166</v>
      </c>
      <c r="H39" s="35" t="s">
        <v>163</v>
      </c>
    </row>
    <row r="40" spans="1:11" ht="49.5" x14ac:dyDescent="0.3">
      <c r="A40" s="1461" t="s">
        <v>212</v>
      </c>
      <c r="B40" s="1453" t="s">
        <v>62</v>
      </c>
      <c r="C40" s="29" t="s">
        <v>11</v>
      </c>
      <c r="D40" s="46" t="s">
        <v>164</v>
      </c>
      <c r="E40" s="33" t="s">
        <v>90</v>
      </c>
      <c r="F40" s="37" t="s">
        <v>90</v>
      </c>
      <c r="G40" s="33" t="s">
        <v>89</v>
      </c>
      <c r="H40" s="42" t="s">
        <v>89</v>
      </c>
      <c r="I40" s="44" t="str">
        <f t="shared" ref="I40:I47" si="3">IF(E40=F40,"No Change","Change")</f>
        <v>No Change</v>
      </c>
      <c r="J40" s="5" t="str">
        <f t="shared" ref="J40:J47" si="4">IF(F40=G40,"No Change","Change")</f>
        <v>Change</v>
      </c>
    </row>
    <row r="41" spans="1:11" ht="33.75" thickBot="1" x14ac:dyDescent="0.35">
      <c r="A41" s="1462"/>
      <c r="B41" s="1458"/>
      <c r="C41" s="31" t="s">
        <v>71</v>
      </c>
      <c r="D41" s="47" t="s">
        <v>164</v>
      </c>
      <c r="E41" s="34" t="s">
        <v>88</v>
      </c>
      <c r="F41" s="40" t="s">
        <v>164</v>
      </c>
      <c r="G41" s="34" t="s">
        <v>87</v>
      </c>
      <c r="H41" s="43" t="s">
        <v>164</v>
      </c>
      <c r="I41" s="44" t="str">
        <f t="shared" si="3"/>
        <v>Change</v>
      </c>
      <c r="J41" s="5" t="str">
        <f t="shared" si="4"/>
        <v>Change</v>
      </c>
    </row>
    <row r="42" spans="1:11" ht="15" customHeight="1" x14ac:dyDescent="0.3">
      <c r="A42" s="1462"/>
      <c r="B42" s="1453" t="s">
        <v>70</v>
      </c>
      <c r="C42" s="29" t="s">
        <v>11</v>
      </c>
      <c r="D42" s="36" t="s">
        <v>168</v>
      </c>
      <c r="E42" s="30" t="s">
        <v>86</v>
      </c>
      <c r="F42" s="36" t="s">
        <v>168</v>
      </c>
      <c r="G42" s="30" t="s">
        <v>85</v>
      </c>
      <c r="H42" s="1466" t="s">
        <v>164</v>
      </c>
      <c r="I42" s="44" t="str">
        <f t="shared" si="3"/>
        <v>Change</v>
      </c>
      <c r="J42" s="5" t="str">
        <f t="shared" si="4"/>
        <v>Change</v>
      </c>
      <c r="K42" s="5" t="s">
        <v>182</v>
      </c>
    </row>
    <row r="43" spans="1:11" ht="15" customHeight="1" thickBot="1" x14ac:dyDescent="0.35">
      <c r="A43" s="1462"/>
      <c r="B43" s="1454"/>
      <c r="C43" s="31" t="s">
        <v>71</v>
      </c>
      <c r="D43" s="39" t="s">
        <v>169</v>
      </c>
      <c r="E43" s="32" t="s">
        <v>86</v>
      </c>
      <c r="F43" s="39" t="s">
        <v>209</v>
      </c>
      <c r="G43" s="32" t="s">
        <v>85</v>
      </c>
      <c r="H43" s="1467"/>
      <c r="I43" s="44" t="str">
        <f t="shared" si="3"/>
        <v>Change</v>
      </c>
      <c r="J43" s="5" t="str">
        <f t="shared" si="4"/>
        <v>Change</v>
      </c>
      <c r="K43" s="5" t="s">
        <v>211</v>
      </c>
    </row>
    <row r="44" spans="1:11" ht="15" customHeight="1" x14ac:dyDescent="0.3">
      <c r="A44" s="1462"/>
      <c r="B44" s="1453" t="s">
        <v>65</v>
      </c>
      <c r="C44" s="29" t="s">
        <v>11</v>
      </c>
      <c r="D44" s="36" t="s">
        <v>86</v>
      </c>
      <c r="E44" s="30" t="s">
        <v>86</v>
      </c>
      <c r="F44" s="36" t="s">
        <v>168</v>
      </c>
      <c r="G44" s="30" t="s">
        <v>85</v>
      </c>
      <c r="H44" s="1466" t="s">
        <v>164</v>
      </c>
      <c r="I44" s="44" t="str">
        <f t="shared" si="3"/>
        <v>Change</v>
      </c>
      <c r="J44" s="5" t="str">
        <f t="shared" si="4"/>
        <v>Change</v>
      </c>
      <c r="K44" s="5" t="s">
        <v>182</v>
      </c>
    </row>
    <row r="45" spans="1:11" ht="15" customHeight="1" thickBot="1" x14ac:dyDescent="0.35">
      <c r="A45" s="1462"/>
      <c r="B45" s="1454"/>
      <c r="C45" s="31" t="s">
        <v>71</v>
      </c>
      <c r="D45" s="39" t="s">
        <v>169</v>
      </c>
      <c r="E45" s="32" t="s">
        <v>86</v>
      </c>
      <c r="F45" s="39" t="s">
        <v>210</v>
      </c>
      <c r="G45" s="32" t="s">
        <v>85</v>
      </c>
      <c r="H45" s="1467"/>
      <c r="I45" s="44" t="str">
        <f t="shared" si="3"/>
        <v>Change</v>
      </c>
      <c r="J45" s="5" t="str">
        <f t="shared" si="4"/>
        <v>Change</v>
      </c>
      <c r="K45" s="5" t="s">
        <v>211</v>
      </c>
    </row>
    <row r="46" spans="1:11" ht="15" customHeight="1" x14ac:dyDescent="0.3">
      <c r="A46" s="1462"/>
      <c r="B46" s="1453" t="s">
        <v>66</v>
      </c>
      <c r="C46" s="29" t="s">
        <v>11</v>
      </c>
      <c r="D46" s="36" t="s">
        <v>174</v>
      </c>
      <c r="E46" s="30" t="s">
        <v>84</v>
      </c>
      <c r="F46" s="36" t="s">
        <v>84</v>
      </c>
      <c r="G46" s="30" t="s">
        <v>83</v>
      </c>
      <c r="H46" s="1466" t="s">
        <v>164</v>
      </c>
      <c r="I46" s="44" t="str">
        <f t="shared" si="3"/>
        <v>No Change</v>
      </c>
      <c r="J46" s="5" t="str">
        <f t="shared" si="4"/>
        <v>Change</v>
      </c>
    </row>
    <row r="47" spans="1:11" ht="15" customHeight="1" thickBot="1" x14ac:dyDescent="0.35">
      <c r="A47" s="1463"/>
      <c r="B47" s="1454"/>
      <c r="C47" s="31" t="s">
        <v>71</v>
      </c>
      <c r="D47" s="39" t="s">
        <v>175</v>
      </c>
      <c r="E47" s="32" t="s">
        <v>84</v>
      </c>
      <c r="F47" s="39" t="s">
        <v>173</v>
      </c>
      <c r="G47" s="32" t="s">
        <v>83</v>
      </c>
      <c r="H47" s="1467"/>
      <c r="I47" s="44" t="str">
        <f t="shared" si="3"/>
        <v>Change</v>
      </c>
      <c r="J47" s="5" t="str">
        <f t="shared" si="4"/>
        <v>Change</v>
      </c>
      <c r="K47" s="5" t="s">
        <v>211</v>
      </c>
    </row>
  </sheetData>
  <sheetProtection password="BA01" sheet="1" objects="1" scenarios="1"/>
  <mergeCells count="32">
    <mergeCell ref="B46:B47"/>
    <mergeCell ref="A40:A47"/>
    <mergeCell ref="H42:H43"/>
    <mergeCell ref="H44:H45"/>
    <mergeCell ref="H46:H47"/>
    <mergeCell ref="B44:B45"/>
    <mergeCell ref="F31:F32"/>
    <mergeCell ref="F33:F34"/>
    <mergeCell ref="F35:F36"/>
    <mergeCell ref="B40:B41"/>
    <mergeCell ref="B42:B43"/>
    <mergeCell ref="B22:B23"/>
    <mergeCell ref="B24:B25"/>
    <mergeCell ref="A20:A25"/>
    <mergeCell ref="A29:A36"/>
    <mergeCell ref="B29:B30"/>
    <mergeCell ref="B31:B32"/>
    <mergeCell ref="B33:B34"/>
    <mergeCell ref="B35:B36"/>
    <mergeCell ref="B14:B15"/>
    <mergeCell ref="B16:B17"/>
    <mergeCell ref="B18:B19"/>
    <mergeCell ref="A14:A19"/>
    <mergeCell ref="B20:B21"/>
    <mergeCell ref="A12:A13"/>
    <mergeCell ref="B12:B13"/>
    <mergeCell ref="A2:A11"/>
    <mergeCell ref="B2:B3"/>
    <mergeCell ref="B4:B5"/>
    <mergeCell ref="B6:B7"/>
    <mergeCell ref="B8:B9"/>
    <mergeCell ref="B10:B11"/>
  </mergeCells>
  <conditionalFormatting sqref="I3:I11">
    <cfRule type="expression" dxfId="3" priority="5" stopIfTrue="1">
      <formula>$I$2="Change"</formula>
    </cfRule>
  </conditionalFormatting>
  <conditionalFormatting sqref="I2:J11">
    <cfRule type="expression" dxfId="2" priority="3" stopIfTrue="1">
      <formula>$I2="Change"</formula>
    </cfRule>
  </conditionalFormatting>
  <conditionalFormatting sqref="I29:J37">
    <cfRule type="expression" dxfId="1" priority="2" stopIfTrue="1">
      <formula>$I29="Change"</formula>
    </cfRule>
  </conditionalFormatting>
  <conditionalFormatting sqref="I40:J47">
    <cfRule type="expression" dxfId="0" priority="1" stopIfTrue="1">
      <formula>$I40="Change"</formula>
    </cfRule>
  </conditionalFormatting>
  <pageMargins left="0.7" right="0.7" top="0.75" bottom="0.75" header="0.3" footer="0.3"/>
  <pageSetup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B050"/>
    <pageSetUpPr fitToPage="1"/>
  </sheetPr>
  <dimension ref="A1:IU56"/>
  <sheetViews>
    <sheetView showGridLines="0" tabSelected="1" zoomScaleNormal="100" zoomScalePageLayoutView="85" workbookViewId="0">
      <selection sqref="A1:F1"/>
    </sheetView>
  </sheetViews>
  <sheetFormatPr defaultColWidth="0" defaultRowHeight="14.1" customHeight="1" zeroHeight="1" x14ac:dyDescent="0.3"/>
  <cols>
    <col min="1" max="1" width="3.7109375" style="2" customWidth="1"/>
    <col min="2" max="2" width="24.42578125" style="2" customWidth="1"/>
    <col min="3" max="4" width="13.5703125" style="2" customWidth="1"/>
    <col min="5" max="5" width="13.85546875" style="2" customWidth="1"/>
    <col min="6" max="6" width="13.5703125" style="2" customWidth="1"/>
    <col min="7" max="7" width="1.5703125" style="2" customWidth="1"/>
    <col min="8" max="8" width="15.85546875" style="2" bestFit="1" customWidth="1"/>
    <col min="9" max="9" width="26.5703125" style="2" customWidth="1"/>
    <col min="10" max="12" width="13.5703125" style="2" customWidth="1"/>
    <col min="13" max="13" width="4.42578125" style="2" customWidth="1"/>
    <col min="14" max="14" width="9.140625" style="2" customWidth="1"/>
    <col min="15" max="255" width="9.140625" style="2" hidden="1" customWidth="1"/>
    <col min="256" max="16384" width="8.7109375" style="2" hidden="1"/>
  </cols>
  <sheetData>
    <row r="1" spans="1:14" ht="50.1" customHeight="1" x14ac:dyDescent="0.4">
      <c r="A1" s="1113" t="str">
        <f>Development!B4&amp;" "&amp;Development!B2</f>
        <v>2025 Commercial Efficiency Program</v>
      </c>
      <c r="B1" s="1113"/>
      <c r="C1" s="1113"/>
      <c r="D1" s="1113"/>
      <c r="E1" s="1113"/>
      <c r="F1" s="1113"/>
      <c r="G1" s="319"/>
      <c r="H1" s="319"/>
      <c r="I1" s="344"/>
      <c r="J1" s="344"/>
      <c r="K1" s="322"/>
      <c r="L1" s="322"/>
      <c r="M1" s="270"/>
    </row>
    <row r="2" spans="1:14" s="1070" customFormat="1" ht="50.1" customHeight="1" thickBot="1" x14ac:dyDescent="0.35">
      <c r="A2" s="1046"/>
      <c r="B2" s="1047" t="str">
        <f>"HVAC Rebate Application, Version"&amp;" "&amp;Development!B5</f>
        <v>HVAC Rebate Application, Version 2.0</v>
      </c>
      <c r="C2" s="1047"/>
      <c r="D2" s="1047"/>
      <c r="E2" s="1047"/>
      <c r="F2" s="1047"/>
      <c r="G2" s="1047"/>
      <c r="H2" s="1047"/>
      <c r="I2" s="1048"/>
      <c r="J2" s="1048"/>
      <c r="K2" s="1068"/>
      <c r="L2" s="1069"/>
      <c r="M2" s="1052"/>
    </row>
    <row r="3" spans="1:14" ht="39.950000000000003" customHeight="1" thickTop="1" x14ac:dyDescent="0.3">
      <c r="A3" s="1138" t="s">
        <v>466</v>
      </c>
      <c r="B3" s="1138"/>
      <c r="C3" s="1138"/>
      <c r="D3" s="1138"/>
      <c r="E3" s="1138"/>
      <c r="F3" s="1138"/>
      <c r="G3" s="1138"/>
      <c r="H3" s="1138"/>
      <c r="I3" s="1138"/>
      <c r="J3" s="1138"/>
      <c r="K3" s="1138"/>
      <c r="L3" s="1138"/>
    </row>
    <row r="4" spans="1:14" s="109" customFormat="1" ht="27" customHeight="1" thickBot="1" x14ac:dyDescent="0.35">
      <c r="A4" s="1139" t="s">
        <v>467</v>
      </c>
      <c r="B4" s="1139"/>
      <c r="C4" s="1139"/>
      <c r="D4" s="1139"/>
      <c r="E4" s="1139"/>
      <c r="F4" s="1139"/>
      <c r="G4" s="1139"/>
      <c r="H4" s="1139"/>
      <c r="I4" s="1139"/>
      <c r="J4" s="1139"/>
      <c r="K4" s="1139"/>
      <c r="L4" s="1139"/>
    </row>
    <row r="5" spans="1:14" ht="27.95" customHeight="1" x14ac:dyDescent="0.3">
      <c r="A5" s="1120" t="s">
        <v>468</v>
      </c>
      <c r="B5" s="1120"/>
      <c r="C5" s="1124"/>
      <c r="D5" s="1124"/>
      <c r="E5" s="1124"/>
      <c r="F5" s="1124"/>
      <c r="J5" s="110" t="s">
        <v>469</v>
      </c>
      <c r="K5" s="1124"/>
      <c r="L5" s="1124"/>
    </row>
    <row r="6" spans="1:14" ht="27.95" customHeight="1" x14ac:dyDescent="0.3">
      <c r="A6" s="1120" t="s">
        <v>470</v>
      </c>
      <c r="B6" s="1120"/>
      <c r="C6" s="1122"/>
      <c r="D6" s="1122"/>
      <c r="E6" s="1122"/>
      <c r="F6" s="1122"/>
      <c r="J6" s="110" t="s">
        <v>471</v>
      </c>
      <c r="K6" s="1124"/>
      <c r="L6" s="1124"/>
    </row>
    <row r="7" spans="1:14" ht="27.95" customHeight="1" x14ac:dyDescent="0.3">
      <c r="A7" s="1120" t="s">
        <v>472</v>
      </c>
      <c r="B7" s="1120"/>
      <c r="C7" s="1122"/>
      <c r="D7" s="1122"/>
      <c r="E7" s="1122"/>
      <c r="F7" s="1122"/>
      <c r="H7" s="110" t="s">
        <v>473</v>
      </c>
      <c r="I7" s="1124"/>
      <c r="J7" s="1124"/>
      <c r="K7" s="110" t="s">
        <v>474</v>
      </c>
      <c r="L7" s="90"/>
    </row>
    <row r="8" spans="1:14" ht="27.95" customHeight="1" x14ac:dyDescent="0.3">
      <c r="A8" s="1129" t="s">
        <v>475</v>
      </c>
      <c r="B8" s="1133"/>
      <c r="C8" s="1122"/>
      <c r="D8" s="1122"/>
      <c r="E8" s="1122"/>
      <c r="F8" s="1122"/>
      <c r="H8" s="110" t="s">
        <v>473</v>
      </c>
      <c r="I8" s="1122"/>
      <c r="J8" s="1122"/>
      <c r="K8" s="110" t="s">
        <v>474</v>
      </c>
      <c r="L8" s="90"/>
    </row>
    <row r="9" spans="1:14" ht="27.95" customHeight="1" x14ac:dyDescent="0.3">
      <c r="A9" s="1120" t="s">
        <v>476</v>
      </c>
      <c r="B9" s="1120"/>
      <c r="C9" s="1122"/>
      <c r="D9" s="1122"/>
      <c r="E9" s="1122"/>
      <c r="F9" s="1122"/>
      <c r="I9" s="1137" t="s">
        <v>477</v>
      </c>
      <c r="J9" s="1137"/>
      <c r="K9" s="1126"/>
      <c r="L9" s="1126"/>
    </row>
    <row r="10" spans="1:14" ht="27.95" customHeight="1" x14ac:dyDescent="0.3">
      <c r="A10" s="1120" t="s">
        <v>478</v>
      </c>
      <c r="B10" s="1120"/>
      <c r="C10" s="1122"/>
      <c r="D10" s="1122"/>
      <c r="E10" s="1122"/>
      <c r="F10" s="1122"/>
      <c r="I10" s="1112" t="s">
        <v>479</v>
      </c>
      <c r="J10" s="1112"/>
      <c r="K10" s="1126"/>
      <c r="L10" s="1126"/>
    </row>
    <row r="11" spans="1:14" ht="27.95" customHeight="1" x14ac:dyDescent="0.3">
      <c r="A11" s="1120" t="s">
        <v>480</v>
      </c>
      <c r="B11" s="1120"/>
      <c r="C11" s="1121"/>
      <c r="D11" s="1122"/>
      <c r="E11" s="1122"/>
      <c r="F11" s="1122"/>
      <c r="I11" s="1112" t="s">
        <v>481</v>
      </c>
      <c r="J11" s="1112"/>
      <c r="K11" s="1126"/>
      <c r="L11" s="1126"/>
    </row>
    <row r="12" spans="1:14" s="80" customFormat="1" ht="16.5" x14ac:dyDescent="0.3">
      <c r="A12" s="111"/>
      <c r="B12" s="111"/>
      <c r="M12" s="2"/>
      <c r="N12" s="2"/>
    </row>
    <row r="13" spans="1:14" ht="23.45" customHeight="1" x14ac:dyDescent="0.3">
      <c r="A13" s="1120" t="s">
        <v>482</v>
      </c>
      <c r="B13" s="1120"/>
      <c r="C13" s="1136" t="s">
        <v>1116</v>
      </c>
      <c r="D13" s="1136"/>
      <c r="E13" s="1136"/>
      <c r="F13" s="1136"/>
      <c r="J13" s="1135" t="s">
        <v>483</v>
      </c>
      <c r="K13" s="1112"/>
      <c r="L13" s="95"/>
    </row>
    <row r="14" spans="1:14" ht="15.75" customHeight="1" x14ac:dyDescent="0.3"/>
    <row r="15" spans="1:14" ht="9" customHeight="1" x14ac:dyDescent="0.3">
      <c r="A15" s="1117"/>
      <c r="B15" s="1117"/>
      <c r="C15" s="1117"/>
      <c r="D15" s="1117"/>
      <c r="E15" s="1117"/>
      <c r="F15" s="1117"/>
      <c r="G15" s="1117"/>
      <c r="H15" s="1117"/>
      <c r="I15" s="1117"/>
      <c r="J15" s="1117"/>
      <c r="K15" s="1117"/>
      <c r="L15" s="1117"/>
    </row>
    <row r="16" spans="1:14" ht="24.95" customHeight="1" x14ac:dyDescent="0.3">
      <c r="A16" s="1110" t="s">
        <v>434</v>
      </c>
      <c r="B16" s="1110"/>
      <c r="C16" s="1134" t="s">
        <v>1116</v>
      </c>
      <c r="D16" s="1134"/>
      <c r="E16" s="1134"/>
      <c r="F16" s="1134"/>
      <c r="G16"/>
      <c r="H16"/>
      <c r="I16"/>
      <c r="J16"/>
      <c r="K16"/>
      <c r="L16"/>
    </row>
    <row r="17" spans="1:13" ht="24.95" customHeight="1" x14ac:dyDescent="0.3">
      <c r="A17" s="1110"/>
      <c r="B17" s="1110"/>
      <c r="C17"/>
      <c r="D17"/>
      <c r="E17"/>
      <c r="F17"/>
      <c r="G17"/>
      <c r="H17"/>
      <c r="I17"/>
      <c r="J17"/>
      <c r="K17"/>
      <c r="L17"/>
    </row>
    <row r="18" spans="1:13" ht="30" customHeight="1" x14ac:dyDescent="0.3">
      <c r="A18" s="1129" t="s">
        <v>490</v>
      </c>
      <c r="B18" s="1129"/>
      <c r="C18" s="1118" t="s">
        <v>1116</v>
      </c>
      <c r="D18" s="1118"/>
      <c r="E18" s="1118"/>
      <c r="I18" s="1128" t="s">
        <v>1477</v>
      </c>
      <c r="J18" s="1128"/>
      <c r="K18" s="1118" t="s">
        <v>1116</v>
      </c>
      <c r="L18" s="1118"/>
      <c r="M18" s="1118"/>
    </row>
    <row r="19" spans="1:13" ht="25.35" customHeight="1" x14ac:dyDescent="0.3">
      <c r="A19" s="112"/>
      <c r="B19" s="113"/>
      <c r="C19" s="316"/>
      <c r="D19" s="316"/>
      <c r="E19" s="316"/>
      <c r="I19" s="356" t="s">
        <v>1478</v>
      </c>
      <c r="J19" s="357"/>
      <c r="K19" s="357"/>
      <c r="L19" s="357"/>
      <c r="M19" s="357"/>
    </row>
    <row r="20" spans="1:13" ht="25.35" customHeight="1" x14ac:dyDescent="0.3">
      <c r="A20" s="1129" t="s">
        <v>1320</v>
      </c>
      <c r="B20" s="1129"/>
      <c r="C20" s="1118" t="s">
        <v>1116</v>
      </c>
      <c r="D20" s="1118"/>
      <c r="E20" s="1118"/>
      <c r="I20" s="1103" t="s">
        <v>1944</v>
      </c>
      <c r="J20" s="357"/>
      <c r="K20" s="357"/>
      <c r="L20" s="357"/>
      <c r="M20" s="357"/>
    </row>
    <row r="21" spans="1:13" ht="25.35" customHeight="1" x14ac:dyDescent="0.3">
      <c r="A21" s="112"/>
      <c r="B21" s="113"/>
      <c r="C21" s="316"/>
      <c r="D21" s="316"/>
      <c r="E21" s="316"/>
    </row>
    <row r="22" spans="1:13" ht="17.45" customHeight="1" thickBot="1" x14ac:dyDescent="0.35">
      <c r="A22" s="1123" t="s">
        <v>484</v>
      </c>
      <c r="B22" s="1123"/>
      <c r="C22" s="1123"/>
      <c r="D22" s="1123"/>
      <c r="E22" s="1123"/>
      <c r="F22" s="1123"/>
      <c r="G22" s="1123"/>
      <c r="H22" s="1123"/>
      <c r="I22" s="1123"/>
      <c r="J22" s="1123"/>
      <c r="K22" s="1123"/>
      <c r="L22" s="1123"/>
    </row>
    <row r="23" spans="1:13" ht="23.25" customHeight="1" x14ac:dyDescent="0.3">
      <c r="A23" s="1120" t="s">
        <v>485</v>
      </c>
      <c r="B23" s="1120"/>
      <c r="C23" s="1124"/>
      <c r="D23" s="1124"/>
      <c r="E23" s="1124"/>
      <c r="F23" s="1124"/>
      <c r="G23" s="114"/>
      <c r="H23" s="114"/>
      <c r="I23" s="1125"/>
      <c r="J23" s="1125"/>
      <c r="K23" s="1125"/>
      <c r="L23" s="1071"/>
    </row>
    <row r="24" spans="1:13" ht="23.25" customHeight="1" x14ac:dyDescent="0.3">
      <c r="A24" s="1120" t="s">
        <v>486</v>
      </c>
      <c r="B24" s="1120"/>
      <c r="C24" s="1122"/>
      <c r="D24" s="1122"/>
      <c r="E24" s="1122"/>
      <c r="F24" s="1122"/>
      <c r="H24" s="115" t="s">
        <v>473</v>
      </c>
      <c r="I24" s="1124"/>
      <c r="J24" s="1124"/>
      <c r="K24" s="110" t="s">
        <v>474</v>
      </c>
      <c r="L24" s="90"/>
    </row>
    <row r="25" spans="1:13" ht="23.25" customHeight="1" x14ac:dyDescent="0.3">
      <c r="A25" s="1120" t="s">
        <v>478</v>
      </c>
      <c r="B25" s="1120"/>
      <c r="C25" s="1122"/>
      <c r="D25" s="1122"/>
      <c r="E25" s="1122"/>
      <c r="F25" s="1122"/>
      <c r="H25" s="116" t="s">
        <v>477</v>
      </c>
      <c r="I25" s="1126"/>
      <c r="J25" s="1126"/>
      <c r="K25" s="1126"/>
      <c r="L25" s="1126"/>
    </row>
    <row r="26" spans="1:13" ht="23.25" customHeight="1" x14ac:dyDescent="0.3">
      <c r="A26" s="1120" t="s">
        <v>471</v>
      </c>
      <c r="B26" s="1120"/>
      <c r="C26" s="1122"/>
      <c r="D26" s="1122"/>
      <c r="E26" s="1122"/>
      <c r="F26" s="1122"/>
      <c r="H26" s="115" t="s">
        <v>479</v>
      </c>
      <c r="I26" s="1111"/>
      <c r="J26" s="1111"/>
      <c r="K26" s="1111"/>
      <c r="L26" s="1111"/>
    </row>
    <row r="27" spans="1:13" ht="23.25" customHeight="1" x14ac:dyDescent="0.3">
      <c r="A27" s="1120" t="s">
        <v>480</v>
      </c>
      <c r="B27" s="1120"/>
      <c r="C27" s="1121"/>
      <c r="D27" s="1122"/>
      <c r="E27" s="1122"/>
      <c r="F27" s="1122"/>
      <c r="H27" s="115" t="s">
        <v>481</v>
      </c>
      <c r="I27" s="1111"/>
      <c r="J27" s="1111"/>
      <c r="K27" s="1111"/>
      <c r="L27" s="1111"/>
    </row>
    <row r="28" spans="1:13" ht="7.5" customHeight="1" x14ac:dyDescent="0.3"/>
    <row r="29" spans="1:13" ht="19.5" thickBot="1" x14ac:dyDescent="0.35">
      <c r="A29" s="1123" t="s">
        <v>19</v>
      </c>
      <c r="B29" s="1123"/>
      <c r="C29" s="1123"/>
      <c r="D29" s="1123"/>
      <c r="E29" s="1123"/>
      <c r="F29" s="1123"/>
      <c r="G29" s="1123"/>
      <c r="H29" s="1123"/>
      <c r="I29" s="1123"/>
      <c r="J29" s="1123"/>
      <c r="K29" s="1123"/>
      <c r="L29" s="1123"/>
    </row>
    <row r="30" spans="1:13" ht="22.7" customHeight="1" x14ac:dyDescent="0.3">
      <c r="A30" s="1112" t="s">
        <v>1920</v>
      </c>
      <c r="B30" s="1112"/>
      <c r="C30" s="1112"/>
      <c r="D30" s="1112"/>
      <c r="E30" s="1112"/>
      <c r="F30" s="1112"/>
      <c r="G30" s="1119">
        <f>Summary!K74</f>
        <v>0</v>
      </c>
      <c r="H30" s="1119"/>
      <c r="I30" s="1119"/>
      <c r="J30" s="1119"/>
      <c r="K30" s="1119"/>
      <c r="L30" s="1119"/>
    </row>
    <row r="31" spans="1:13" ht="39" customHeight="1" x14ac:dyDescent="0.3">
      <c r="A31" s="1132" t="s">
        <v>713</v>
      </c>
      <c r="B31" s="1132"/>
      <c r="C31" s="1132"/>
      <c r="D31" s="1132"/>
      <c r="E31" s="1132"/>
      <c r="F31" s="1132"/>
      <c r="G31" s="1132"/>
      <c r="H31" s="1132"/>
      <c r="I31" s="1132"/>
      <c r="J31" s="1132"/>
      <c r="K31" s="1132"/>
      <c r="L31" s="1132"/>
    </row>
    <row r="32" spans="1:13" ht="3" customHeight="1" x14ac:dyDescent="0.3">
      <c r="A32" s="117"/>
      <c r="B32" s="117"/>
      <c r="C32" s="117"/>
      <c r="D32" s="117"/>
      <c r="E32" s="117"/>
      <c r="F32" s="117"/>
      <c r="G32" s="118"/>
      <c r="H32" s="118"/>
      <c r="I32" s="118"/>
      <c r="J32" s="118"/>
      <c r="K32" s="118"/>
      <c r="L32" s="118"/>
    </row>
    <row r="33" spans="1:13" ht="153" customHeight="1" x14ac:dyDescent="0.3">
      <c r="A33" s="1114" t="s">
        <v>487</v>
      </c>
      <c r="B33" s="1115"/>
      <c r="C33" s="1115"/>
      <c r="D33" s="1115"/>
      <c r="E33" s="1115"/>
      <c r="F33" s="1115"/>
      <c r="G33" s="1115"/>
      <c r="H33" s="1115"/>
      <c r="I33" s="1115"/>
      <c r="J33" s="1115"/>
      <c r="K33" s="1115"/>
      <c r="L33" s="1115"/>
    </row>
    <row r="34" spans="1:13" ht="30" customHeight="1" x14ac:dyDescent="0.3">
      <c r="A34" s="1116" t="s">
        <v>488</v>
      </c>
      <c r="B34" s="1117"/>
      <c r="C34" s="1118"/>
      <c r="D34" s="1118"/>
      <c r="E34" s="1118"/>
      <c r="F34" s="1118"/>
      <c r="G34" s="1118"/>
      <c r="H34" s="1118"/>
      <c r="I34" s="1118"/>
    </row>
    <row r="35" spans="1:13" ht="5.45" customHeight="1" x14ac:dyDescent="0.3">
      <c r="A35" s="75"/>
      <c r="B35" s="117"/>
      <c r="C35" s="118"/>
      <c r="D35" s="118"/>
      <c r="E35" s="118"/>
      <c r="F35" s="118"/>
      <c r="G35" s="118"/>
      <c r="H35" s="118"/>
      <c r="I35" s="118"/>
    </row>
    <row r="36" spans="1:13" ht="34.5" customHeight="1" x14ac:dyDescent="0.3">
      <c r="A36" s="1116" t="s">
        <v>489</v>
      </c>
      <c r="B36" s="1117"/>
      <c r="C36" s="1127"/>
      <c r="D36" s="1127"/>
      <c r="E36" s="1127"/>
      <c r="F36" s="1127"/>
      <c r="G36" s="1127"/>
      <c r="H36" s="1127"/>
      <c r="I36" s="1127"/>
      <c r="J36" s="116" t="s">
        <v>433</v>
      </c>
      <c r="K36" s="1130"/>
      <c r="L36" s="1131"/>
      <c r="M36" s="270"/>
    </row>
    <row r="37" spans="1:13" ht="15" customHeight="1" x14ac:dyDescent="0.3">
      <c r="A37" s="75"/>
      <c r="B37" s="75"/>
      <c r="J37" s="116"/>
      <c r="K37" s="119"/>
      <c r="L37" s="119"/>
    </row>
    <row r="38" spans="1:13" ht="16.350000000000001" customHeight="1" x14ac:dyDescent="0.3">
      <c r="A38" s="120"/>
      <c r="B38" s="121"/>
      <c r="C38" s="121"/>
      <c r="D38" s="122"/>
      <c r="E38" s="122"/>
      <c r="F38" s="122"/>
      <c r="I38" s="121"/>
      <c r="J38" s="123"/>
      <c r="K38" s="122"/>
      <c r="L38" s="120"/>
    </row>
    <row r="39" spans="1:13" ht="16.350000000000001" customHeight="1" x14ac:dyDescent="0.3"/>
    <row r="40" spans="1:13" s="124" customFormat="1" ht="16.350000000000001" customHeight="1" x14ac:dyDescent="0.2"/>
    <row r="41" spans="1:13" ht="16.5" x14ac:dyDescent="0.3"/>
    <row r="42" spans="1:13" ht="16.5" x14ac:dyDescent="0.3">
      <c r="K42" s="88" t="s">
        <v>687</v>
      </c>
      <c r="L42" s="91"/>
    </row>
    <row r="43" spans="1:13" ht="16.5" hidden="1" x14ac:dyDescent="0.3"/>
    <row r="44" spans="1:13" ht="16.5" hidden="1" x14ac:dyDescent="0.3"/>
    <row r="45" spans="1:13" ht="16.5" hidden="1" x14ac:dyDescent="0.3"/>
    <row r="46" spans="1:13" ht="16.5" hidden="1" x14ac:dyDescent="0.3"/>
    <row r="47" spans="1:13" ht="16.5" hidden="1" x14ac:dyDescent="0.3"/>
    <row r="48" spans="1:13" ht="16.5" hidden="1" x14ac:dyDescent="0.3"/>
    <row r="49" spans="1:14" ht="16.350000000000001" customHeight="1" x14ac:dyDescent="0.3">
      <c r="A49" s="80"/>
      <c r="B49" s="80"/>
      <c r="C49" s="125"/>
      <c r="D49" s="126"/>
      <c r="E49" s="126"/>
      <c r="F49" s="126"/>
      <c r="G49" s="125"/>
      <c r="H49" s="125"/>
      <c r="I49" s="125"/>
      <c r="J49" s="126"/>
      <c r="K49" s="126"/>
      <c r="L49" s="127"/>
    </row>
    <row r="50" spans="1:14" ht="16.5" x14ac:dyDescent="0.3">
      <c r="B50" s="130" t="s">
        <v>426</v>
      </c>
      <c r="C50" s="129" t="str">
        <f>Development!B6&amp;"_"&amp;Development!$B$5</f>
        <v>4.1.25_2.0</v>
      </c>
      <c r="D50" s="129"/>
      <c r="E50" s="129"/>
      <c r="F50" s="129"/>
      <c r="G50" s="129"/>
      <c r="H50" s="124"/>
      <c r="I50" s="129"/>
      <c r="J50" s="129"/>
      <c r="K50" s="130" t="s">
        <v>427</v>
      </c>
      <c r="L50" s="131" t="str">
        <f>Development!B6</f>
        <v>4.1.25</v>
      </c>
      <c r="M50" s="235"/>
      <c r="N50" s="235"/>
    </row>
    <row r="51" spans="1:14" ht="14.1" customHeight="1" x14ac:dyDescent="0.3"/>
    <row r="52" spans="1:14" ht="14.1" customHeight="1" x14ac:dyDescent="0.3"/>
    <row r="53" spans="1:14" ht="14.1" customHeight="1" x14ac:dyDescent="0.3"/>
    <row r="54" spans="1:14" ht="14.1" customHeight="1" x14ac:dyDescent="0.3"/>
    <row r="55" spans="1:14" ht="14.1" customHeight="1" x14ac:dyDescent="0.3"/>
    <row r="56" spans="1:14" ht="14.1" customHeight="1" x14ac:dyDescent="0.3"/>
  </sheetData>
  <sheetProtection algorithmName="SHA-512" hashValue="k04GV/UrTGclHBbGxH7INzurkrBoYI2Y7Zye1BdIrHt2XJMUbsFmHI2Q4JOL/A6tWgGpnZelHPb2u30hFJszHA==" saltValue="puIJK79iblXFhCnCqCW/Tg==" spinCount="100000" sheet="1" objects="1" scenarios="1"/>
  <dataConsolidate/>
  <mergeCells count="65">
    <mergeCell ref="A3:L3"/>
    <mergeCell ref="A4:L4"/>
    <mergeCell ref="A5:B5"/>
    <mergeCell ref="C5:F5"/>
    <mergeCell ref="K5:L5"/>
    <mergeCell ref="A9:B9"/>
    <mergeCell ref="K6:L6"/>
    <mergeCell ref="A11:B11"/>
    <mergeCell ref="A7:B7"/>
    <mergeCell ref="C7:F7"/>
    <mergeCell ref="C6:F6"/>
    <mergeCell ref="A6:B6"/>
    <mergeCell ref="A25:B25"/>
    <mergeCell ref="A20:B20"/>
    <mergeCell ref="A8:B8"/>
    <mergeCell ref="C8:F8"/>
    <mergeCell ref="I8:J8"/>
    <mergeCell ref="C16:F16"/>
    <mergeCell ref="C18:E18"/>
    <mergeCell ref="C20:E20"/>
    <mergeCell ref="A13:B13"/>
    <mergeCell ref="J13:K13"/>
    <mergeCell ref="A15:L15"/>
    <mergeCell ref="C13:F13"/>
    <mergeCell ref="A10:B10"/>
    <mergeCell ref="C10:F10"/>
    <mergeCell ref="C9:F9"/>
    <mergeCell ref="I9:J9"/>
    <mergeCell ref="I26:L26"/>
    <mergeCell ref="A36:B36"/>
    <mergeCell ref="C36:I36"/>
    <mergeCell ref="I18:J18"/>
    <mergeCell ref="I7:J7"/>
    <mergeCell ref="A29:L29"/>
    <mergeCell ref="A18:B18"/>
    <mergeCell ref="K18:M18"/>
    <mergeCell ref="K9:L9"/>
    <mergeCell ref="I10:J10"/>
    <mergeCell ref="K10:L10"/>
    <mergeCell ref="K36:L36"/>
    <mergeCell ref="A24:B24"/>
    <mergeCell ref="C24:F24"/>
    <mergeCell ref="I24:J24"/>
    <mergeCell ref="A31:L31"/>
    <mergeCell ref="A34:B34"/>
    <mergeCell ref="C34:I34"/>
    <mergeCell ref="G30:L30"/>
    <mergeCell ref="A27:B27"/>
    <mergeCell ref="C27:F27"/>
    <mergeCell ref="A16:B17"/>
    <mergeCell ref="I27:L27"/>
    <mergeCell ref="A30:F30"/>
    <mergeCell ref="A1:F1"/>
    <mergeCell ref="A33:L33"/>
    <mergeCell ref="A22:L22"/>
    <mergeCell ref="A23:B23"/>
    <mergeCell ref="C23:F23"/>
    <mergeCell ref="I23:K23"/>
    <mergeCell ref="C11:F11"/>
    <mergeCell ref="I11:J11"/>
    <mergeCell ref="K11:L11"/>
    <mergeCell ref="C25:F25"/>
    <mergeCell ref="I25:L25"/>
    <mergeCell ref="A26:B26"/>
    <mergeCell ref="C26:F26"/>
  </mergeCells>
  <conditionalFormatting sqref="I19">
    <cfRule type="expression" dxfId="26" priority="1">
      <formula>$C$17="Select…"</formula>
    </cfRule>
  </conditionalFormatting>
  <dataValidations count="1">
    <dataValidation type="list" allowBlank="1" showInputMessage="1" showErrorMessage="1" sqref="C21:E21 C19:E19" xr:uid="{6589E649-38DB-4E9C-BA9F-ED825BA96F9E}">
      <formula1>#REF!</formula1>
    </dataValidation>
  </dataValidations>
  <hyperlinks>
    <hyperlink ref="I19" r:id="rId1" xr:uid="{54F22B95-B76A-4428-82A9-4852A801CE27}"/>
  </hyperlinks>
  <printOptions horizontalCentered="1"/>
  <pageMargins left="0" right="0" top="0.25" bottom="0.25" header="0.3" footer="0.3"/>
  <pageSetup scale="57"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37" r:id="rId5" name="Group Box 13">
              <controlPr defaultSize="0" autoFill="0" autoPict="0">
                <anchor moveWithCells="1">
                  <from>
                    <xdr:col>1</xdr:col>
                    <xdr:colOff>2266950</xdr:colOff>
                    <xdr:row>14</xdr:row>
                    <xdr:rowOff>9525</xdr:rowOff>
                  </from>
                  <to>
                    <xdr:col>10</xdr:col>
                    <xdr:colOff>38100</xdr:colOff>
                    <xdr:row>18</xdr:row>
                    <xdr:rowOff>180975</xdr:rowOff>
                  </to>
                </anchor>
              </controlPr>
            </control>
          </mc:Choice>
        </mc:AlternateContent>
        <mc:AlternateContent xmlns:mc="http://schemas.openxmlformats.org/markup-compatibility/2006">
          <mc:Choice Requires="x14">
            <control shapeId="26654" r:id="rId6" name="Group Box 30">
              <controlPr defaultSize="0" autoFill="0" autoPict="0">
                <anchor moveWithCells="1">
                  <from>
                    <xdr:col>1</xdr:col>
                    <xdr:colOff>1828800</xdr:colOff>
                    <xdr:row>10</xdr:row>
                    <xdr:rowOff>895350</xdr:rowOff>
                  </from>
                  <to>
                    <xdr:col>9</xdr:col>
                    <xdr:colOff>38100</xdr:colOff>
                    <xdr:row>13</xdr:row>
                    <xdr:rowOff>123825</xdr:rowOff>
                  </to>
                </anchor>
              </controlPr>
            </control>
          </mc:Choice>
        </mc:AlternateContent>
        <mc:AlternateContent xmlns:mc="http://schemas.openxmlformats.org/markup-compatibility/2006">
          <mc:Choice Requires="x14">
            <control shapeId="26658" r:id="rId7" name="Group Box 34">
              <controlPr defaultSize="0" autoFill="0" autoPict="0">
                <anchor moveWithCells="1">
                  <from>
                    <xdr:col>1</xdr:col>
                    <xdr:colOff>2581275</xdr:colOff>
                    <xdr:row>17</xdr:row>
                    <xdr:rowOff>0</xdr:rowOff>
                  </from>
                  <to>
                    <xdr:col>5</xdr:col>
                    <xdr:colOff>314325</xdr:colOff>
                    <xdr:row>18</xdr:row>
                    <xdr:rowOff>161925</xdr:rowOff>
                  </to>
                </anchor>
              </controlPr>
            </control>
          </mc:Choice>
        </mc:AlternateContent>
        <mc:AlternateContent xmlns:mc="http://schemas.openxmlformats.org/markup-compatibility/2006">
          <mc:Choice Requires="x14">
            <control shapeId="26660" r:id="rId8" name="Group Box 36">
              <controlPr defaultSize="0" autoFill="0" autoPict="0">
                <anchor moveWithCells="1">
                  <from>
                    <xdr:col>1</xdr:col>
                    <xdr:colOff>2581275</xdr:colOff>
                    <xdr:row>19</xdr:row>
                    <xdr:rowOff>0</xdr:rowOff>
                  </from>
                  <to>
                    <xdr:col>5</xdr:col>
                    <xdr:colOff>314325</xdr:colOff>
                    <xdr:row>20</xdr:row>
                    <xdr:rowOff>219075</xdr:rowOff>
                  </to>
                </anchor>
              </controlPr>
            </control>
          </mc:Choice>
        </mc:AlternateContent>
        <mc:AlternateContent xmlns:mc="http://schemas.openxmlformats.org/markup-compatibility/2006">
          <mc:Choice Requires="x14">
            <control shapeId="26663" r:id="rId9" name="Group Box 39">
              <controlPr defaultSize="0" autoFill="0" autoPict="0">
                <anchor moveWithCells="1">
                  <from>
                    <xdr:col>9</xdr:col>
                    <xdr:colOff>333375</xdr:colOff>
                    <xdr:row>17</xdr:row>
                    <xdr:rowOff>0</xdr:rowOff>
                  </from>
                  <to>
                    <xdr:col>13</xdr:col>
                    <xdr:colOff>0</xdr:colOff>
                    <xdr:row>18</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CEDC2D36-127F-42CD-B088-A02CE68FBCF5}">
          <x14:formula1>
            <xm:f>'HVAC References'!$K$15:$K$18</xm:f>
          </x14:formula1>
          <xm:sqref>C13:F13</xm:sqref>
        </x14:dataValidation>
        <x14:dataValidation type="list" allowBlank="1" showInputMessage="1" showErrorMessage="1" xr:uid="{6D65BDAF-3E5C-416C-A34E-4B78FA86E48A}">
          <x14:formula1>
            <xm:f>'HVAC References'!$M$15:$M$18</xm:f>
          </x14:formula1>
          <xm:sqref>K18:M18</xm:sqref>
        </x14:dataValidation>
        <x14:dataValidation type="list" allowBlank="1" showInputMessage="1" showErrorMessage="1" xr:uid="{A4E3A237-655B-4FA1-BC35-531DCC65F7C4}">
          <x14:formula1>
            <xm:f>'HVAC References'!$E$4:$E$26</xm:f>
          </x14:formula1>
          <xm:sqref>C16:F16</xm:sqref>
        </x14:dataValidation>
        <x14:dataValidation type="list" allowBlank="1" showInputMessage="1" showErrorMessage="1" xr:uid="{A7CA6819-C1DA-48E4-A010-C9CDE5D6E602}">
          <x14:formula1>
            <xm:f>'HVAC References'!$L$15:$L$17</xm:f>
          </x14:formula1>
          <xm:sqref>C20:E20</xm:sqref>
        </x14:dataValidation>
        <x14:dataValidation type="list" allowBlank="1" showInputMessage="1" showErrorMessage="1" xr:uid="{A5C337E5-A8AE-4187-AE23-C1D9FCF3B701}">
          <x14:formula1>
            <xm:f>'HVAC References'!$J$15:$J$17</xm:f>
          </x14:formula1>
          <xm:sqref>C18:E18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B050"/>
    <pageSetUpPr fitToPage="1"/>
  </sheetPr>
  <dimension ref="A1:IV79"/>
  <sheetViews>
    <sheetView showGridLines="0" zoomScaleNormal="100" workbookViewId="0">
      <selection sqref="A1:G1"/>
    </sheetView>
  </sheetViews>
  <sheetFormatPr defaultColWidth="0" defaultRowHeight="16.5" customHeight="1" zeroHeight="1" x14ac:dyDescent="0.3"/>
  <cols>
    <col min="1" max="1" width="3.7109375" style="323" customWidth="1"/>
    <col min="2" max="11" width="13.5703125" style="2" customWidth="1"/>
    <col min="12" max="12" width="9.140625" style="2" hidden="1" customWidth="1"/>
    <col min="13" max="16384" width="0" style="2" hidden="1"/>
  </cols>
  <sheetData>
    <row r="1" spans="1:256" ht="50.1" customHeight="1" x14ac:dyDescent="0.4">
      <c r="A1" s="1144" t="str">
        <f>Development!B4&amp;" "&amp;"Commercial Efficiency Program"</f>
        <v>2025 Commercial Efficiency Program</v>
      </c>
      <c r="B1" s="1144"/>
      <c r="C1" s="1144"/>
      <c r="D1" s="1144"/>
      <c r="E1" s="1144"/>
      <c r="F1" s="1144"/>
      <c r="G1" s="1144"/>
      <c r="H1" s="343"/>
      <c r="I1" s="344"/>
      <c r="J1" s="322"/>
      <c r="K1" s="322"/>
    </row>
    <row r="2" spans="1:256" s="1070" customFormat="1" ht="50.1" customHeight="1" thickBot="1" x14ac:dyDescent="0.35">
      <c r="A2" s="1046"/>
      <c r="B2" s="1145" t="s">
        <v>1879</v>
      </c>
      <c r="C2" s="1145"/>
      <c r="D2" s="1145"/>
      <c r="E2" s="1145"/>
      <c r="F2" s="1145"/>
      <c r="G2" s="1145"/>
      <c r="H2" s="1048"/>
      <c r="I2" s="1048"/>
      <c r="J2" s="1069"/>
      <c r="K2" s="1069"/>
      <c r="L2" s="1072"/>
      <c r="M2" s="1073"/>
      <c r="N2" s="1073"/>
      <c r="O2" s="1073"/>
      <c r="P2" s="1073"/>
      <c r="Q2" s="1073"/>
      <c r="R2" s="1073"/>
      <c r="S2" s="1073"/>
      <c r="T2" s="1073"/>
      <c r="U2" s="107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3"/>
      <c r="BA2" s="1143"/>
      <c r="BB2" s="1143"/>
      <c r="BC2" s="1143"/>
      <c r="BD2" s="1143"/>
      <c r="BE2" s="1143"/>
      <c r="BF2" s="1143"/>
      <c r="BG2" s="1143"/>
      <c r="BH2" s="1143"/>
      <c r="BI2" s="1143"/>
      <c r="BJ2" s="1143"/>
      <c r="BK2" s="1143"/>
      <c r="BL2" s="1143"/>
      <c r="BM2" s="1143"/>
      <c r="BN2" s="1143"/>
      <c r="BO2" s="1143"/>
      <c r="BP2" s="1143"/>
      <c r="BQ2" s="1143"/>
      <c r="BR2" s="1143"/>
      <c r="BS2" s="1143"/>
      <c r="BT2" s="1143"/>
      <c r="BU2" s="1143"/>
      <c r="BV2" s="1143"/>
      <c r="BW2" s="1143"/>
      <c r="BX2" s="1143"/>
      <c r="BY2" s="1143"/>
      <c r="BZ2" s="1143"/>
      <c r="CA2" s="1143"/>
      <c r="CB2" s="1143"/>
      <c r="CC2" s="1143"/>
      <c r="CD2" s="1143"/>
      <c r="CE2" s="1143"/>
      <c r="CF2" s="1143"/>
      <c r="CG2" s="1143"/>
      <c r="CH2" s="1143"/>
      <c r="CI2" s="1143"/>
      <c r="CJ2" s="1143"/>
      <c r="CK2" s="1143"/>
      <c r="CL2" s="1143"/>
      <c r="CM2" s="1143"/>
      <c r="CN2" s="1143"/>
      <c r="CO2" s="1143"/>
      <c r="CP2" s="1143"/>
      <c r="CQ2" s="1143"/>
      <c r="CR2" s="1143"/>
      <c r="CS2" s="1143"/>
      <c r="CT2" s="1143"/>
      <c r="CU2" s="1143"/>
      <c r="CV2" s="1143"/>
      <c r="CW2" s="1143"/>
      <c r="CX2" s="1143"/>
      <c r="CY2" s="1143"/>
      <c r="CZ2" s="1143"/>
      <c r="DA2" s="1143"/>
      <c r="DB2" s="1143"/>
      <c r="DC2" s="1143"/>
      <c r="DD2" s="1143"/>
      <c r="DE2" s="1143"/>
      <c r="DF2" s="1143"/>
      <c r="DG2" s="1143"/>
      <c r="DH2" s="1143"/>
      <c r="DI2" s="1143"/>
      <c r="DJ2" s="1143"/>
      <c r="DK2" s="1143"/>
      <c r="DL2" s="1143"/>
      <c r="DM2" s="1143"/>
      <c r="DN2" s="1143"/>
      <c r="DO2" s="1143"/>
      <c r="DP2" s="1143"/>
      <c r="DQ2" s="1143"/>
      <c r="DR2" s="1143"/>
      <c r="DS2" s="1143"/>
      <c r="DT2" s="1143"/>
      <c r="DU2" s="1143"/>
      <c r="DV2" s="1143"/>
      <c r="DW2" s="1143"/>
      <c r="DX2" s="1143"/>
      <c r="DY2" s="1143"/>
      <c r="DZ2" s="1143"/>
      <c r="EA2" s="1143"/>
      <c r="EB2" s="1143"/>
      <c r="EC2" s="1143"/>
      <c r="ED2" s="1143"/>
      <c r="EE2" s="1143"/>
      <c r="EF2" s="1143"/>
      <c r="EG2" s="1143"/>
      <c r="EH2" s="1143"/>
      <c r="EI2" s="1143"/>
      <c r="EJ2" s="1143"/>
      <c r="EK2" s="1143"/>
      <c r="EL2" s="1143"/>
      <c r="EM2" s="1143"/>
      <c r="EN2" s="1143"/>
      <c r="EO2" s="1143"/>
      <c r="EP2" s="1143"/>
      <c r="EQ2" s="1143"/>
      <c r="ER2" s="1143"/>
      <c r="ES2" s="1143"/>
      <c r="ET2" s="1143"/>
      <c r="EU2" s="1143"/>
      <c r="EV2" s="1143"/>
      <c r="EW2" s="1143"/>
      <c r="EX2" s="1143"/>
      <c r="EY2" s="1143"/>
      <c r="EZ2" s="1143"/>
      <c r="FA2" s="1143"/>
      <c r="FB2" s="1143"/>
      <c r="FC2" s="1143"/>
      <c r="FD2" s="1143"/>
      <c r="FE2" s="1143"/>
      <c r="FF2" s="1143"/>
      <c r="FG2" s="1143"/>
      <c r="FH2" s="1143"/>
      <c r="FI2" s="1143"/>
      <c r="FJ2" s="1143"/>
      <c r="FK2" s="1143"/>
      <c r="FL2" s="1143"/>
      <c r="FM2" s="1143"/>
      <c r="FN2" s="1143"/>
      <c r="FO2" s="1143"/>
      <c r="FP2" s="1143"/>
      <c r="FQ2" s="1143"/>
      <c r="FR2" s="1143"/>
      <c r="FS2" s="1143"/>
      <c r="FT2" s="1143"/>
      <c r="FU2" s="1143"/>
      <c r="FV2" s="1143"/>
      <c r="FW2" s="1143"/>
      <c r="FX2" s="1143"/>
      <c r="FY2" s="1143"/>
      <c r="FZ2" s="1143"/>
      <c r="GA2" s="1143"/>
      <c r="GB2" s="1143"/>
      <c r="GC2" s="1143"/>
      <c r="GD2" s="1143"/>
      <c r="GE2" s="1143"/>
      <c r="GF2" s="1143"/>
      <c r="GG2" s="1143"/>
      <c r="GH2" s="1143"/>
      <c r="GI2" s="1143"/>
      <c r="GJ2" s="1143"/>
      <c r="GK2" s="1143"/>
      <c r="GL2" s="1143"/>
      <c r="GM2" s="1143"/>
      <c r="GN2" s="1143"/>
      <c r="GO2" s="1143"/>
      <c r="GP2" s="1143"/>
      <c r="GQ2" s="1143"/>
      <c r="GR2" s="1143"/>
      <c r="GS2" s="1143"/>
      <c r="GT2" s="1143"/>
      <c r="GU2" s="1143"/>
      <c r="GV2" s="1143"/>
      <c r="GW2" s="1143"/>
      <c r="GX2" s="1143"/>
      <c r="GY2" s="1143"/>
      <c r="GZ2" s="1143"/>
      <c r="HA2" s="1143"/>
      <c r="HB2" s="1143"/>
      <c r="HC2" s="1143"/>
      <c r="HD2" s="1143"/>
      <c r="HE2" s="1143"/>
      <c r="HF2" s="1143"/>
      <c r="HG2" s="1143"/>
      <c r="HH2" s="1143"/>
      <c r="HI2" s="1143"/>
      <c r="HJ2" s="1143"/>
      <c r="HK2" s="1143"/>
      <c r="HL2" s="1143"/>
      <c r="HM2" s="1143"/>
      <c r="HN2" s="1143"/>
      <c r="HO2" s="1143"/>
      <c r="HP2" s="1143"/>
      <c r="HQ2" s="1143"/>
      <c r="HR2" s="1143"/>
      <c r="HS2" s="1143"/>
      <c r="HT2" s="1143"/>
      <c r="HU2" s="1143"/>
      <c r="HV2" s="1143"/>
      <c r="HW2" s="1143"/>
      <c r="HX2" s="1143"/>
      <c r="HY2" s="1143"/>
      <c r="HZ2" s="1143"/>
      <c r="IA2" s="1143"/>
      <c r="IB2" s="1143"/>
      <c r="IC2" s="1143"/>
      <c r="ID2" s="1143"/>
      <c r="IE2" s="1143"/>
      <c r="IF2" s="1143"/>
      <c r="IG2" s="1143"/>
      <c r="IH2" s="1143"/>
      <c r="II2" s="1143"/>
      <c r="IJ2" s="1143"/>
      <c r="IK2" s="1143"/>
      <c r="IL2" s="1143"/>
      <c r="IM2" s="1143"/>
      <c r="IN2" s="1143"/>
      <c r="IO2" s="1143"/>
      <c r="IP2" s="1143"/>
      <c r="IQ2" s="1143"/>
      <c r="IR2" s="1143"/>
      <c r="IS2" s="1143"/>
      <c r="IT2" s="1143"/>
      <c r="IU2" s="1143"/>
      <c r="IV2" s="1143"/>
    </row>
    <row r="3" spans="1:256" ht="12.75" customHeight="1" thickTop="1" x14ac:dyDescent="0.3"/>
    <row r="4" spans="1:256" s="133" customFormat="1" ht="8.85" customHeight="1" x14ac:dyDescent="0.15">
      <c r="A4" s="324" t="s">
        <v>550</v>
      </c>
      <c r="B4" s="132"/>
      <c r="C4" s="132"/>
      <c r="D4" s="132"/>
      <c r="E4" s="132"/>
      <c r="F4" s="132"/>
      <c r="G4" s="132"/>
      <c r="H4" s="132"/>
      <c r="I4" s="132"/>
      <c r="J4" s="132"/>
      <c r="K4" s="132"/>
    </row>
    <row r="5" spans="1:256" s="134" customFormat="1" ht="17.100000000000001" customHeight="1" x14ac:dyDescent="0.15">
      <c r="A5" s="325" t="s">
        <v>551</v>
      </c>
      <c r="B5" s="1141" t="s">
        <v>552</v>
      </c>
      <c r="C5" s="1141"/>
      <c r="D5" s="1141"/>
      <c r="E5" s="1141"/>
      <c r="F5" s="1141"/>
      <c r="G5" s="1141"/>
      <c r="H5" s="1141"/>
      <c r="I5" s="1141"/>
      <c r="J5" s="1141"/>
      <c r="K5" s="1141"/>
    </row>
    <row r="6" spans="1:256" s="134" customFormat="1" ht="18" customHeight="1" x14ac:dyDescent="0.15">
      <c r="A6" s="325" t="s">
        <v>553</v>
      </c>
      <c r="B6" s="1141" t="s">
        <v>554</v>
      </c>
      <c r="C6" s="1141"/>
      <c r="D6" s="1141"/>
      <c r="E6" s="1141"/>
      <c r="F6" s="1141"/>
      <c r="G6" s="1141"/>
      <c r="H6" s="1141"/>
      <c r="I6" s="1141"/>
      <c r="J6" s="1141"/>
      <c r="K6" s="1141"/>
    </row>
    <row r="7" spans="1:256" s="134" customFormat="1" ht="9" x14ac:dyDescent="0.15">
      <c r="A7" s="325" t="s">
        <v>555</v>
      </c>
      <c r="B7" s="135" t="s">
        <v>556</v>
      </c>
      <c r="C7" s="135"/>
      <c r="D7" s="135"/>
      <c r="E7" s="135"/>
      <c r="F7" s="135"/>
      <c r="G7" s="135"/>
      <c r="H7" s="135"/>
      <c r="I7" s="135"/>
      <c r="J7" s="135"/>
      <c r="K7" s="135"/>
    </row>
    <row r="8" spans="1:256" s="133" customFormat="1" ht="9" x14ac:dyDescent="0.15">
      <c r="A8" s="324" t="s">
        <v>557</v>
      </c>
      <c r="B8" s="132"/>
      <c r="C8" s="132"/>
      <c r="D8" s="132"/>
      <c r="E8" s="132"/>
      <c r="F8" s="132"/>
      <c r="G8" s="132"/>
      <c r="H8" s="132"/>
      <c r="I8" s="132"/>
      <c r="J8" s="132"/>
      <c r="K8" s="132"/>
    </row>
    <row r="9" spans="1:256" s="134" customFormat="1" ht="9" x14ac:dyDescent="0.15">
      <c r="A9" s="325" t="s">
        <v>551</v>
      </c>
      <c r="B9" s="1141" t="s">
        <v>558</v>
      </c>
      <c r="C9" s="1141"/>
      <c r="D9" s="1141"/>
      <c r="E9" s="1141"/>
      <c r="F9" s="1141"/>
      <c r="G9" s="1141"/>
      <c r="H9" s="1141"/>
      <c r="I9" s="1141"/>
      <c r="J9" s="1141"/>
      <c r="K9" s="1141"/>
    </row>
    <row r="10" spans="1:256" s="134" customFormat="1" ht="19.5" customHeight="1" x14ac:dyDescent="0.15">
      <c r="A10" s="325" t="s">
        <v>553</v>
      </c>
      <c r="B10" s="1141" t="s">
        <v>559</v>
      </c>
      <c r="C10" s="1141"/>
      <c r="D10" s="1141"/>
      <c r="E10" s="1141"/>
      <c r="F10" s="1141"/>
      <c r="G10" s="1141"/>
      <c r="H10" s="1141"/>
      <c r="I10" s="1141"/>
      <c r="J10" s="1141"/>
      <c r="K10" s="1141"/>
    </row>
    <row r="11" spans="1:256" s="133" customFormat="1" ht="9" x14ac:dyDescent="0.15">
      <c r="A11" s="324" t="s">
        <v>560</v>
      </c>
      <c r="B11" s="132"/>
      <c r="C11" s="132"/>
      <c r="D11" s="132"/>
      <c r="E11" s="132"/>
      <c r="F11" s="132"/>
      <c r="G11" s="132"/>
      <c r="H11" s="132"/>
      <c r="I11" s="132"/>
      <c r="J11" s="132"/>
      <c r="K11" s="132"/>
    </row>
    <row r="12" spans="1:256" s="134" customFormat="1" ht="18.600000000000001" customHeight="1" x14ac:dyDescent="0.15">
      <c r="A12" s="325" t="s">
        <v>551</v>
      </c>
      <c r="B12" s="1141" t="s">
        <v>561</v>
      </c>
      <c r="C12" s="1141"/>
      <c r="D12" s="1141"/>
      <c r="E12" s="1141"/>
      <c r="F12" s="1141"/>
      <c r="G12" s="1141"/>
      <c r="H12" s="1141"/>
      <c r="I12" s="1141"/>
      <c r="J12" s="1141"/>
      <c r="K12" s="1141"/>
    </row>
    <row r="13" spans="1:256" s="134" customFormat="1" ht="9" x14ac:dyDescent="0.15">
      <c r="A13" s="325" t="s">
        <v>553</v>
      </c>
      <c r="B13" s="136" t="s">
        <v>562</v>
      </c>
      <c r="C13" s="136"/>
      <c r="D13" s="136"/>
      <c r="E13" s="136"/>
      <c r="F13" s="136"/>
      <c r="G13" s="136"/>
      <c r="H13" s="136"/>
      <c r="I13" s="136"/>
      <c r="J13" s="136"/>
      <c r="K13" s="136"/>
    </row>
    <row r="14" spans="1:256" s="133" customFormat="1" ht="8.85" customHeight="1" x14ac:dyDescent="0.15">
      <c r="A14" s="324" t="s">
        <v>563</v>
      </c>
      <c r="B14" s="132"/>
      <c r="C14" s="132"/>
      <c r="D14" s="132"/>
      <c r="E14" s="132"/>
      <c r="F14" s="132"/>
      <c r="G14" s="132"/>
      <c r="H14" s="132"/>
      <c r="I14" s="132"/>
      <c r="J14" s="132"/>
      <c r="K14" s="132"/>
    </row>
    <row r="15" spans="1:256" s="134" customFormat="1" ht="27.6" customHeight="1" x14ac:dyDescent="0.15">
      <c r="A15" s="326"/>
      <c r="B15" s="1141" t="s">
        <v>564</v>
      </c>
      <c r="C15" s="1141"/>
      <c r="D15" s="1141"/>
      <c r="E15" s="1141"/>
      <c r="F15" s="1141"/>
      <c r="G15" s="1141"/>
      <c r="H15" s="1141"/>
      <c r="I15" s="1141"/>
      <c r="J15" s="1141"/>
      <c r="K15" s="1141"/>
    </row>
    <row r="16" spans="1:256" s="133" customFormat="1" ht="8.85" customHeight="1" x14ac:dyDescent="0.15">
      <c r="A16" s="324" t="s">
        <v>565</v>
      </c>
      <c r="B16" s="132"/>
      <c r="C16" s="132"/>
      <c r="D16" s="132"/>
      <c r="E16" s="132"/>
      <c r="F16" s="132"/>
      <c r="G16" s="132"/>
      <c r="H16" s="132"/>
      <c r="I16" s="132"/>
      <c r="J16" s="132"/>
      <c r="K16" s="132"/>
      <c r="M16" s="133" t="s">
        <v>566</v>
      </c>
    </row>
    <row r="17" spans="1:14" s="134" customFormat="1" ht="19.5" customHeight="1" x14ac:dyDescent="0.15">
      <c r="A17" s="325" t="s">
        <v>551</v>
      </c>
      <c r="B17" s="1141" t="s">
        <v>567</v>
      </c>
      <c r="C17" s="1141"/>
      <c r="D17" s="1141"/>
      <c r="E17" s="1141"/>
      <c r="F17" s="1141"/>
      <c r="G17" s="1141"/>
      <c r="H17" s="1141"/>
      <c r="I17" s="1141"/>
      <c r="J17" s="1141"/>
      <c r="K17" s="1141"/>
    </row>
    <row r="18" spans="1:14" s="134" customFormat="1" ht="17.100000000000001" customHeight="1" x14ac:dyDescent="0.15">
      <c r="A18" s="325" t="s">
        <v>553</v>
      </c>
      <c r="B18" s="1141" t="s">
        <v>568</v>
      </c>
      <c r="C18" s="1141"/>
      <c r="D18" s="1141"/>
      <c r="E18" s="1141"/>
      <c r="F18" s="1141"/>
      <c r="G18" s="1141"/>
      <c r="H18" s="1141"/>
      <c r="I18" s="1141"/>
      <c r="J18" s="1141"/>
      <c r="K18" s="1141"/>
    </row>
    <row r="19" spans="1:14" s="133" customFormat="1" ht="8.85" customHeight="1" x14ac:dyDescent="0.15">
      <c r="A19" s="324" t="s">
        <v>569</v>
      </c>
      <c r="B19" s="132"/>
      <c r="C19" s="132"/>
      <c r="D19" s="132"/>
      <c r="E19" s="132"/>
      <c r="F19" s="132"/>
      <c r="G19" s="132"/>
      <c r="H19" s="132"/>
      <c r="I19" s="132"/>
      <c r="J19" s="132"/>
      <c r="K19" s="132"/>
    </row>
    <row r="20" spans="1:14" s="134" customFormat="1" ht="18" customHeight="1" x14ac:dyDescent="0.15">
      <c r="A20" s="326"/>
      <c r="B20" s="1141" t="s">
        <v>570</v>
      </c>
      <c r="C20" s="1141"/>
      <c r="D20" s="1141"/>
      <c r="E20" s="1141"/>
      <c r="F20" s="1141"/>
      <c r="G20" s="1141"/>
      <c r="H20" s="1141"/>
      <c r="I20" s="1141"/>
      <c r="J20" s="1141"/>
      <c r="K20" s="1141"/>
    </row>
    <row r="21" spans="1:14" s="133" customFormat="1" ht="9" x14ac:dyDescent="0.15">
      <c r="A21" s="324" t="s">
        <v>571</v>
      </c>
      <c r="B21" s="132"/>
      <c r="C21" s="132"/>
      <c r="D21" s="132"/>
      <c r="E21" s="132"/>
      <c r="F21" s="132"/>
      <c r="G21" s="132"/>
      <c r="H21" s="132"/>
      <c r="I21" s="132"/>
      <c r="J21" s="132"/>
      <c r="K21" s="132"/>
    </row>
    <row r="22" spans="1:14" s="134" customFormat="1" ht="9" x14ac:dyDescent="0.15">
      <c r="A22" s="325" t="s">
        <v>551</v>
      </c>
      <c r="B22" s="136" t="s">
        <v>572</v>
      </c>
      <c r="C22" s="136"/>
      <c r="D22" s="136"/>
      <c r="E22" s="136"/>
      <c r="F22" s="136"/>
      <c r="G22" s="136"/>
      <c r="H22" s="136"/>
      <c r="I22" s="136"/>
      <c r="J22" s="136"/>
      <c r="K22" s="136"/>
    </row>
    <row r="23" spans="1:14" s="134" customFormat="1" ht="9" x14ac:dyDescent="0.15">
      <c r="A23" s="325" t="s">
        <v>553</v>
      </c>
      <c r="B23" s="1141" t="s">
        <v>573</v>
      </c>
      <c r="C23" s="1141"/>
      <c r="D23" s="1141"/>
      <c r="E23" s="1141"/>
      <c r="F23" s="1141"/>
      <c r="G23" s="1141"/>
      <c r="H23" s="1141"/>
      <c r="I23" s="1141"/>
      <c r="J23" s="1141"/>
      <c r="K23" s="1141"/>
    </row>
    <row r="24" spans="1:14" s="134" customFormat="1" ht="9" x14ac:dyDescent="0.15">
      <c r="A24" s="325" t="s">
        <v>555</v>
      </c>
      <c r="B24" s="1141" t="s">
        <v>574</v>
      </c>
      <c r="C24" s="1141"/>
      <c r="D24" s="1141"/>
      <c r="E24" s="1141"/>
      <c r="F24" s="1141"/>
      <c r="G24" s="1141"/>
      <c r="H24" s="1141"/>
      <c r="I24" s="1141"/>
      <c r="J24" s="1141"/>
      <c r="K24" s="1141"/>
    </row>
    <row r="25" spans="1:14" s="134" customFormat="1" ht="20.100000000000001" customHeight="1" x14ac:dyDescent="0.15">
      <c r="A25" s="325" t="s">
        <v>575</v>
      </c>
      <c r="B25" s="1141" t="s">
        <v>576</v>
      </c>
      <c r="C25" s="1141"/>
      <c r="D25" s="1141"/>
      <c r="E25" s="1141"/>
      <c r="F25" s="1141"/>
      <c r="G25" s="1141"/>
      <c r="H25" s="1141"/>
      <c r="I25" s="1141"/>
      <c r="J25" s="1141"/>
      <c r="K25" s="1141"/>
      <c r="N25" s="134" t="s">
        <v>566</v>
      </c>
    </row>
    <row r="26" spans="1:14" s="134" customFormat="1" ht="9" x14ac:dyDescent="0.15">
      <c r="A26" s="325" t="s">
        <v>577</v>
      </c>
      <c r="B26" s="136" t="s">
        <v>578</v>
      </c>
      <c r="C26" s="136"/>
      <c r="D26" s="136"/>
      <c r="E26" s="136"/>
      <c r="F26" s="136"/>
      <c r="G26" s="136"/>
      <c r="H26" s="136"/>
      <c r="I26" s="136"/>
      <c r="J26" s="136"/>
      <c r="K26" s="136"/>
    </row>
    <row r="27" spans="1:14" s="134" customFormat="1" ht="9" x14ac:dyDescent="0.15">
      <c r="A27" s="325" t="s">
        <v>579</v>
      </c>
      <c r="B27" s="1141" t="s">
        <v>580</v>
      </c>
      <c r="C27" s="1141"/>
      <c r="D27" s="1141"/>
      <c r="E27" s="1141"/>
      <c r="F27" s="1141"/>
      <c r="G27" s="1141"/>
      <c r="H27" s="1141"/>
      <c r="I27" s="1141"/>
      <c r="J27" s="1141"/>
      <c r="K27" s="1141"/>
    </row>
    <row r="28" spans="1:14" s="134" customFormat="1" ht="18.95" customHeight="1" x14ac:dyDescent="0.15">
      <c r="A28" s="325" t="s">
        <v>581</v>
      </c>
      <c r="B28" s="1141" t="s">
        <v>582</v>
      </c>
      <c r="C28" s="1141"/>
      <c r="D28" s="1141"/>
      <c r="E28" s="1141"/>
      <c r="F28" s="1141"/>
      <c r="G28" s="1141"/>
      <c r="H28" s="1141"/>
      <c r="I28" s="1141"/>
      <c r="J28" s="1141"/>
      <c r="K28" s="1141"/>
    </row>
    <row r="29" spans="1:14" s="133" customFormat="1" ht="8.85" customHeight="1" x14ac:dyDescent="0.15">
      <c r="A29" s="324" t="s">
        <v>583</v>
      </c>
      <c r="B29" s="132"/>
      <c r="C29" s="132"/>
      <c r="D29" s="132"/>
      <c r="E29" s="132"/>
      <c r="F29" s="132"/>
      <c r="G29" s="132"/>
      <c r="H29" s="132"/>
      <c r="I29" s="132"/>
      <c r="J29" s="132"/>
      <c r="K29" s="132"/>
    </row>
    <row r="30" spans="1:14" s="134" customFormat="1" ht="27" customHeight="1" x14ac:dyDescent="0.15">
      <c r="A30" s="325" t="s">
        <v>551</v>
      </c>
      <c r="B30" s="1141" t="s">
        <v>584</v>
      </c>
      <c r="C30" s="1141"/>
      <c r="D30" s="1141"/>
      <c r="E30" s="1141"/>
      <c r="F30" s="1141"/>
      <c r="G30" s="1141"/>
      <c r="H30" s="1141"/>
      <c r="I30" s="1141"/>
      <c r="J30" s="1141"/>
      <c r="K30" s="1141"/>
    </row>
    <row r="31" spans="1:14" s="134" customFormat="1" ht="18.600000000000001" customHeight="1" x14ac:dyDescent="0.15">
      <c r="A31" s="325" t="s">
        <v>553</v>
      </c>
      <c r="B31" s="1141" t="s">
        <v>585</v>
      </c>
      <c r="C31" s="1141"/>
      <c r="D31" s="1141"/>
      <c r="E31" s="1141"/>
      <c r="F31" s="1141"/>
      <c r="G31" s="1141"/>
      <c r="H31" s="1141"/>
      <c r="I31" s="1141"/>
      <c r="J31" s="1141"/>
      <c r="K31" s="1141"/>
    </row>
    <row r="32" spans="1:14" s="134" customFormat="1" ht="9" x14ac:dyDescent="0.15">
      <c r="A32" s="325" t="s">
        <v>555</v>
      </c>
      <c r="B32" s="135" t="s">
        <v>586</v>
      </c>
      <c r="C32" s="135"/>
      <c r="D32" s="135"/>
      <c r="E32" s="135"/>
      <c r="F32" s="135"/>
      <c r="G32" s="135"/>
      <c r="H32" s="135"/>
      <c r="I32" s="135"/>
      <c r="J32" s="135"/>
      <c r="K32" s="135"/>
    </row>
    <row r="33" spans="1:11" s="133" customFormat="1" ht="8.85" customHeight="1" x14ac:dyDescent="0.15">
      <c r="A33" s="324" t="s">
        <v>587</v>
      </c>
      <c r="B33" s="132"/>
      <c r="C33" s="132"/>
      <c r="D33" s="132"/>
      <c r="E33" s="132"/>
      <c r="F33" s="132"/>
      <c r="G33" s="132"/>
      <c r="H33" s="132"/>
      <c r="I33" s="132"/>
      <c r="J33" s="132"/>
      <c r="K33" s="132"/>
    </row>
    <row r="34" spans="1:11" s="134" customFormat="1" ht="9" customHeight="1" x14ac:dyDescent="0.15">
      <c r="A34" s="326"/>
      <c r="B34" s="1141" t="s">
        <v>588</v>
      </c>
      <c r="C34" s="1141"/>
      <c r="D34" s="1141"/>
      <c r="E34" s="1141"/>
      <c r="F34" s="1141"/>
      <c r="G34" s="1141"/>
      <c r="H34" s="1141"/>
      <c r="I34" s="1141"/>
      <c r="J34" s="1141"/>
      <c r="K34" s="1141"/>
    </row>
    <row r="35" spans="1:11" s="133" customFormat="1" ht="8.85" customHeight="1" x14ac:dyDescent="0.15">
      <c r="A35" s="324" t="s">
        <v>589</v>
      </c>
      <c r="B35" s="132"/>
      <c r="C35" s="132"/>
      <c r="D35" s="132"/>
      <c r="E35" s="132"/>
      <c r="F35" s="132"/>
      <c r="G35" s="132"/>
      <c r="H35" s="132"/>
      <c r="I35" s="132"/>
      <c r="J35" s="132"/>
      <c r="K35" s="132"/>
    </row>
    <row r="36" spans="1:11" s="134" customFormat="1" ht="18.600000000000001" customHeight="1" x14ac:dyDescent="0.15">
      <c r="A36" s="326"/>
      <c r="B36" s="1141" t="s">
        <v>590</v>
      </c>
      <c r="C36" s="1141"/>
      <c r="D36" s="1141"/>
      <c r="E36" s="1141"/>
      <c r="F36" s="1141"/>
      <c r="G36" s="1141"/>
      <c r="H36" s="1141"/>
      <c r="I36" s="1141"/>
      <c r="J36" s="1141"/>
      <c r="K36" s="1141"/>
    </row>
    <row r="37" spans="1:11" s="133" customFormat="1" ht="9" x14ac:dyDescent="0.15">
      <c r="A37" s="324" t="s">
        <v>591</v>
      </c>
      <c r="B37" s="132"/>
      <c r="C37" s="132"/>
      <c r="D37" s="132"/>
      <c r="E37" s="132"/>
      <c r="F37" s="132"/>
      <c r="G37" s="132"/>
      <c r="H37" s="132"/>
      <c r="I37" s="132"/>
      <c r="J37" s="132"/>
      <c r="K37" s="132"/>
    </row>
    <row r="38" spans="1:11" s="134" customFormat="1" ht="18.600000000000001" customHeight="1" x14ac:dyDescent="0.15">
      <c r="A38" s="326"/>
      <c r="B38" s="1141" t="s">
        <v>592</v>
      </c>
      <c r="C38" s="1141"/>
      <c r="D38" s="1141"/>
      <c r="E38" s="1141"/>
      <c r="F38" s="1141"/>
      <c r="G38" s="1141"/>
      <c r="H38" s="1141"/>
      <c r="I38" s="1141"/>
      <c r="J38" s="1141"/>
      <c r="K38" s="1141"/>
    </row>
    <row r="39" spans="1:11" s="133" customFormat="1" ht="9" x14ac:dyDescent="0.15">
      <c r="A39" s="324" t="s">
        <v>593</v>
      </c>
      <c r="B39" s="132"/>
      <c r="C39" s="132"/>
      <c r="D39" s="132"/>
      <c r="E39" s="132"/>
      <c r="F39" s="132"/>
      <c r="G39" s="132"/>
      <c r="H39" s="132"/>
      <c r="I39" s="132"/>
      <c r="J39" s="132"/>
      <c r="K39" s="132"/>
    </row>
    <row r="40" spans="1:11" s="134" customFormat="1" ht="9" x14ac:dyDescent="0.15">
      <c r="A40" s="326"/>
      <c r="B40" s="1140" t="s">
        <v>594</v>
      </c>
      <c r="C40" s="1140"/>
      <c r="D40" s="1140"/>
      <c r="E40" s="1140"/>
      <c r="F40" s="1140"/>
      <c r="G40" s="1140"/>
      <c r="H40" s="1140"/>
      <c r="I40" s="1140"/>
      <c r="J40" s="1140"/>
      <c r="K40" s="1140"/>
    </row>
    <row r="41" spans="1:11" s="133" customFormat="1" ht="8.85" customHeight="1" x14ac:dyDescent="0.15">
      <c r="A41" s="324" t="s">
        <v>595</v>
      </c>
      <c r="B41" s="132"/>
      <c r="C41" s="132"/>
      <c r="D41" s="132"/>
      <c r="E41" s="132"/>
      <c r="F41" s="132"/>
      <c r="G41" s="132"/>
      <c r="H41" s="132"/>
      <c r="I41" s="132"/>
      <c r="J41" s="132"/>
      <c r="K41" s="132"/>
    </row>
    <row r="42" spans="1:11" s="134" customFormat="1" ht="20.100000000000001" customHeight="1" x14ac:dyDescent="0.15">
      <c r="A42" s="325" t="s">
        <v>551</v>
      </c>
      <c r="B42" s="1141" t="s">
        <v>596</v>
      </c>
      <c r="C42" s="1141"/>
      <c r="D42" s="1141"/>
      <c r="E42" s="1141"/>
      <c r="F42" s="1141"/>
      <c r="G42" s="1141"/>
      <c r="H42" s="1141"/>
      <c r="I42" s="1141"/>
      <c r="J42" s="1141"/>
      <c r="K42" s="1141"/>
    </row>
    <row r="43" spans="1:11" s="134" customFormat="1" ht="9.9499999999999993" customHeight="1" x14ac:dyDescent="0.15">
      <c r="A43" s="325" t="s">
        <v>553</v>
      </c>
      <c r="B43" s="136" t="s">
        <v>597</v>
      </c>
      <c r="C43" s="136"/>
      <c r="D43" s="136"/>
      <c r="E43" s="136"/>
      <c r="F43" s="136"/>
      <c r="G43" s="136"/>
      <c r="H43" s="136"/>
      <c r="I43" s="136"/>
      <c r="J43" s="136"/>
      <c r="K43" s="136"/>
    </row>
    <row r="44" spans="1:11" s="133" customFormat="1" ht="8.85" customHeight="1" x14ac:dyDescent="0.15">
      <c r="A44" s="324" t="s">
        <v>598</v>
      </c>
      <c r="B44" s="132"/>
      <c r="C44" s="132"/>
      <c r="D44" s="132"/>
      <c r="E44" s="132"/>
      <c r="F44" s="132"/>
      <c r="G44" s="132"/>
      <c r="H44" s="132"/>
      <c r="I44" s="132"/>
      <c r="J44" s="132"/>
      <c r="K44" s="132"/>
    </row>
    <row r="45" spans="1:11" s="134" customFormat="1" ht="9" x14ac:dyDescent="0.15">
      <c r="A45" s="326"/>
      <c r="B45" s="136" t="s">
        <v>599</v>
      </c>
      <c r="C45" s="136"/>
      <c r="D45" s="136"/>
      <c r="E45" s="136"/>
      <c r="F45" s="136"/>
      <c r="G45" s="136"/>
      <c r="H45" s="136"/>
      <c r="I45" s="136"/>
      <c r="J45" s="136"/>
      <c r="K45" s="136"/>
    </row>
    <row r="46" spans="1:11" s="134" customFormat="1" ht="9" x14ac:dyDescent="0.15">
      <c r="A46" s="326"/>
      <c r="B46" s="1141" t="s">
        <v>600</v>
      </c>
      <c r="C46" s="1141"/>
      <c r="D46" s="1141"/>
      <c r="E46" s="1141"/>
      <c r="F46" s="1141"/>
      <c r="G46" s="1141"/>
      <c r="H46" s="1141"/>
      <c r="I46" s="1141"/>
      <c r="J46" s="1141"/>
      <c r="K46" s="1141"/>
    </row>
    <row r="47" spans="1:11" s="133" customFormat="1" ht="8.85" customHeight="1" x14ac:dyDescent="0.15">
      <c r="A47" s="324" t="s">
        <v>601</v>
      </c>
      <c r="B47" s="132"/>
      <c r="C47" s="132"/>
      <c r="D47" s="132"/>
      <c r="E47" s="132"/>
      <c r="F47" s="132"/>
      <c r="G47" s="132"/>
      <c r="H47" s="132"/>
      <c r="I47" s="132"/>
      <c r="J47" s="132"/>
      <c r="K47" s="132"/>
    </row>
    <row r="48" spans="1:11" s="134" customFormat="1" ht="9" x14ac:dyDescent="0.15">
      <c r="A48" s="325" t="s">
        <v>551</v>
      </c>
      <c r="B48" s="1141" t="s">
        <v>602</v>
      </c>
      <c r="C48" s="1141"/>
      <c r="D48" s="1141"/>
      <c r="E48" s="1141"/>
      <c r="F48" s="1141"/>
      <c r="G48" s="1141"/>
      <c r="H48" s="1141"/>
      <c r="I48" s="1141"/>
      <c r="J48" s="1141"/>
      <c r="K48" s="1141"/>
    </row>
    <row r="49" spans="1:11" s="134" customFormat="1" ht="18" customHeight="1" x14ac:dyDescent="0.15">
      <c r="A49" s="325" t="s">
        <v>553</v>
      </c>
      <c r="B49" s="1141" t="s">
        <v>603</v>
      </c>
      <c r="C49" s="1141"/>
      <c r="D49" s="1141"/>
      <c r="E49" s="1141"/>
      <c r="F49" s="1141"/>
      <c r="G49" s="1141"/>
      <c r="H49" s="1141"/>
      <c r="I49" s="1141"/>
      <c r="J49" s="1141"/>
      <c r="K49" s="1141"/>
    </row>
    <row r="50" spans="1:11" s="134" customFormat="1" ht="27" customHeight="1" x14ac:dyDescent="0.15">
      <c r="A50" s="325" t="s">
        <v>555</v>
      </c>
      <c r="B50" s="1141" t="s">
        <v>604</v>
      </c>
      <c r="C50" s="1141"/>
      <c r="D50" s="1141"/>
      <c r="E50" s="1141"/>
      <c r="F50" s="1141"/>
      <c r="G50" s="1141"/>
      <c r="H50" s="1141"/>
      <c r="I50" s="1141"/>
      <c r="J50" s="1141"/>
      <c r="K50" s="1141"/>
    </row>
    <row r="51" spans="1:11" s="133" customFormat="1" ht="8.85" customHeight="1" x14ac:dyDescent="0.15">
      <c r="A51" s="324" t="s">
        <v>605</v>
      </c>
      <c r="B51" s="132"/>
      <c r="C51" s="132"/>
      <c r="D51" s="132"/>
      <c r="E51" s="132"/>
      <c r="F51" s="132"/>
      <c r="G51" s="132"/>
      <c r="H51" s="132"/>
      <c r="I51" s="132"/>
      <c r="J51" s="132"/>
      <c r="K51" s="132"/>
    </row>
    <row r="52" spans="1:11" s="134" customFormat="1" ht="9" x14ac:dyDescent="0.15">
      <c r="A52" s="326"/>
      <c r="B52" s="135" t="s">
        <v>606</v>
      </c>
      <c r="C52" s="135"/>
      <c r="D52" s="135"/>
      <c r="E52" s="135"/>
      <c r="F52" s="135"/>
      <c r="G52" s="135"/>
      <c r="H52" s="135"/>
      <c r="I52" s="135"/>
      <c r="J52" s="135"/>
      <c r="K52" s="135"/>
    </row>
    <row r="53" spans="1:11" s="133" customFormat="1" ht="8.85" customHeight="1" x14ac:dyDescent="0.15">
      <c r="A53" s="324" t="s">
        <v>607</v>
      </c>
      <c r="B53" s="132"/>
      <c r="C53" s="132"/>
      <c r="D53" s="132"/>
      <c r="E53" s="132"/>
      <c r="F53" s="132"/>
      <c r="G53" s="132"/>
      <c r="H53" s="132"/>
      <c r="I53" s="132"/>
      <c r="J53" s="132"/>
      <c r="K53" s="132"/>
    </row>
    <row r="54" spans="1:11" s="134" customFormat="1" ht="9" x14ac:dyDescent="0.15">
      <c r="A54" s="326"/>
      <c r="B54" s="1141" t="s">
        <v>608</v>
      </c>
      <c r="C54" s="1141"/>
      <c r="D54" s="1141"/>
      <c r="E54" s="1141"/>
      <c r="F54" s="1141"/>
      <c r="G54" s="1141"/>
      <c r="H54" s="1141"/>
      <c r="I54" s="1141"/>
      <c r="J54" s="1141"/>
      <c r="K54" s="1141"/>
    </row>
    <row r="55" spans="1:11" s="133" customFormat="1" ht="8.85" customHeight="1" x14ac:dyDescent="0.15">
      <c r="A55" s="324" t="s">
        <v>609</v>
      </c>
      <c r="B55" s="132"/>
      <c r="C55" s="132"/>
      <c r="D55" s="132"/>
      <c r="E55" s="132"/>
      <c r="F55" s="132"/>
      <c r="G55" s="132"/>
      <c r="H55" s="132"/>
      <c r="I55" s="132"/>
      <c r="J55" s="132"/>
      <c r="K55" s="132"/>
    </row>
    <row r="56" spans="1:11" s="134" customFormat="1" ht="20.100000000000001" customHeight="1" x14ac:dyDescent="0.15">
      <c r="A56" s="326"/>
      <c r="B56" s="1141" t="s">
        <v>610</v>
      </c>
      <c r="C56" s="1141"/>
      <c r="D56" s="1141"/>
      <c r="E56" s="1141"/>
      <c r="F56" s="1141"/>
      <c r="G56" s="1141"/>
      <c r="H56" s="1141"/>
      <c r="I56" s="1141"/>
      <c r="J56" s="1141"/>
      <c r="K56" s="1141"/>
    </row>
    <row r="57" spans="1:11" s="109" customFormat="1" ht="8.85" customHeight="1" x14ac:dyDescent="0.3">
      <c r="A57" s="324" t="s">
        <v>611</v>
      </c>
      <c r="B57" s="132"/>
      <c r="C57" s="132"/>
      <c r="D57" s="132"/>
      <c r="E57" s="132"/>
      <c r="F57" s="132"/>
      <c r="G57" s="132"/>
      <c r="H57" s="132"/>
      <c r="I57" s="132"/>
      <c r="J57" s="132"/>
      <c r="K57" s="132"/>
    </row>
    <row r="58" spans="1:11" ht="20.100000000000001" customHeight="1" x14ac:dyDescent="0.3">
      <c r="A58" s="326"/>
      <c r="B58" s="1141" t="s">
        <v>612</v>
      </c>
      <c r="C58" s="1141"/>
      <c r="D58" s="1141"/>
      <c r="E58" s="1141"/>
      <c r="F58" s="1141"/>
      <c r="G58" s="1141"/>
      <c r="H58" s="1141"/>
      <c r="I58" s="1141"/>
      <c r="J58" s="1141"/>
      <c r="K58" s="1141"/>
    </row>
    <row r="59" spans="1:11" ht="18" customHeight="1" x14ac:dyDescent="0.3">
      <c r="A59" s="326"/>
      <c r="B59" s="1141" t="s">
        <v>613</v>
      </c>
      <c r="C59" s="1141"/>
      <c r="D59" s="1141"/>
      <c r="E59" s="1141"/>
      <c r="F59" s="1141"/>
      <c r="G59" s="1141"/>
      <c r="H59" s="1141"/>
      <c r="I59" s="1141"/>
      <c r="J59" s="1141"/>
      <c r="K59" s="1141"/>
    </row>
    <row r="60" spans="1:11" s="109" customFormat="1" ht="8.85" customHeight="1" x14ac:dyDescent="0.3">
      <c r="A60" s="324" t="s">
        <v>614</v>
      </c>
      <c r="B60" s="132"/>
      <c r="C60" s="132"/>
      <c r="D60" s="132"/>
      <c r="E60" s="132"/>
      <c r="F60" s="132"/>
      <c r="G60" s="132"/>
      <c r="H60" s="132"/>
      <c r="I60" s="132"/>
      <c r="J60" s="132"/>
      <c r="K60" s="132"/>
    </row>
    <row r="61" spans="1:11" ht="9" customHeight="1" x14ac:dyDescent="0.3">
      <c r="A61" s="325" t="s">
        <v>551</v>
      </c>
      <c r="B61" s="1142" t="s">
        <v>615</v>
      </c>
      <c r="C61" s="1142"/>
      <c r="D61" s="1142"/>
      <c r="E61" s="1142"/>
      <c r="F61" s="1142"/>
      <c r="G61" s="1142"/>
      <c r="H61" s="1142"/>
      <c r="I61" s="1142"/>
      <c r="J61" s="1142"/>
      <c r="K61" s="1142"/>
    </row>
    <row r="62" spans="1:11" ht="18.600000000000001" customHeight="1" x14ac:dyDescent="0.3">
      <c r="A62" s="325" t="s">
        <v>553</v>
      </c>
      <c r="B62" s="1141" t="s">
        <v>616</v>
      </c>
      <c r="C62" s="1141"/>
      <c r="D62" s="1141"/>
      <c r="E62" s="1141"/>
      <c r="F62" s="1141"/>
      <c r="G62" s="1141"/>
      <c r="H62" s="1141"/>
      <c r="I62" s="1141"/>
      <c r="J62" s="1141"/>
      <c r="K62" s="1141"/>
    </row>
    <row r="63" spans="1:11" s="109" customFormat="1" ht="8.85" customHeight="1" x14ac:dyDescent="0.3">
      <c r="A63" s="324" t="s">
        <v>617</v>
      </c>
      <c r="B63" s="132"/>
      <c r="C63" s="132"/>
      <c r="D63" s="132"/>
      <c r="E63" s="132"/>
      <c r="F63" s="132"/>
      <c r="G63" s="132"/>
      <c r="H63" s="132"/>
      <c r="I63" s="132"/>
      <c r="J63" s="132"/>
      <c r="K63" s="132"/>
    </row>
    <row r="64" spans="1:11" s="134" customFormat="1" ht="8.85" customHeight="1" x14ac:dyDescent="0.15">
      <c r="A64" s="326"/>
      <c r="B64" s="1140" t="s">
        <v>618</v>
      </c>
      <c r="C64" s="1140"/>
      <c r="D64" s="1140"/>
      <c r="E64" s="1140"/>
      <c r="F64" s="1140"/>
      <c r="G64" s="1140"/>
      <c r="H64" s="1140"/>
      <c r="I64" s="1140"/>
      <c r="J64" s="1140"/>
      <c r="K64" s="1140"/>
    </row>
    <row r="65" spans="1:11" s="109" customFormat="1" ht="8.85" customHeight="1" x14ac:dyDescent="0.3">
      <c r="A65" s="324" t="s">
        <v>619</v>
      </c>
      <c r="B65" s="132"/>
      <c r="C65" s="132"/>
      <c r="D65" s="132"/>
      <c r="E65" s="132"/>
      <c r="F65" s="132"/>
      <c r="G65" s="132"/>
      <c r="H65" s="132"/>
      <c r="I65" s="132"/>
      <c r="J65" s="132"/>
      <c r="K65" s="132"/>
    </row>
    <row r="66" spans="1:11" s="134" customFormat="1" ht="18" customHeight="1" x14ac:dyDescent="0.15">
      <c r="A66" s="326"/>
      <c r="B66" s="1141" t="s">
        <v>620</v>
      </c>
      <c r="C66" s="1141"/>
      <c r="D66" s="1141"/>
      <c r="E66" s="1141"/>
      <c r="F66" s="1141"/>
      <c r="G66" s="1141"/>
      <c r="H66" s="1141"/>
      <c r="I66" s="1141"/>
      <c r="J66" s="1141"/>
      <c r="K66" s="1141"/>
    </row>
    <row r="67" spans="1:11" s="109" customFormat="1" ht="8.85" customHeight="1" x14ac:dyDescent="0.3">
      <c r="A67" s="324" t="s">
        <v>621</v>
      </c>
      <c r="B67" s="132"/>
      <c r="C67" s="132"/>
      <c r="D67" s="132"/>
      <c r="E67" s="132"/>
      <c r="F67" s="132"/>
      <c r="G67" s="132"/>
      <c r="H67" s="132"/>
      <c r="I67" s="132"/>
      <c r="J67" s="132"/>
      <c r="K67" s="132"/>
    </row>
    <row r="68" spans="1:11" ht="9.9499999999999993" customHeight="1" x14ac:dyDescent="0.3">
      <c r="A68" s="326"/>
      <c r="B68" s="135" t="s">
        <v>622</v>
      </c>
      <c r="C68" s="135"/>
      <c r="D68" s="135"/>
      <c r="E68" s="135"/>
      <c r="F68" s="135"/>
      <c r="G68" s="135"/>
      <c r="H68" s="135"/>
      <c r="I68" s="135"/>
      <c r="J68" s="135"/>
      <c r="K68" s="135"/>
    </row>
    <row r="69" spans="1:11" s="109" customFormat="1" ht="8.85" customHeight="1" x14ac:dyDescent="0.3">
      <c r="A69" s="324" t="s">
        <v>623</v>
      </c>
      <c r="B69" s="132"/>
      <c r="C69" s="132"/>
      <c r="D69" s="132"/>
      <c r="E69" s="132"/>
      <c r="F69" s="132"/>
      <c r="G69" s="132"/>
      <c r="H69" s="132"/>
      <c r="I69" s="132"/>
      <c r="J69" s="132"/>
      <c r="K69" s="132"/>
    </row>
    <row r="70" spans="1:11" ht="18" customHeight="1" x14ac:dyDescent="0.3">
      <c r="A70" s="326"/>
      <c r="B70" s="1141" t="s">
        <v>624</v>
      </c>
      <c r="C70" s="1141"/>
      <c r="D70" s="1141"/>
      <c r="E70" s="1141"/>
      <c r="F70" s="1141"/>
      <c r="G70" s="1141"/>
      <c r="H70" s="1141"/>
      <c r="I70" s="1141"/>
      <c r="J70" s="1141"/>
      <c r="K70" s="1141"/>
    </row>
    <row r="71" spans="1:11" s="109" customFormat="1" ht="9.6" customHeight="1" x14ac:dyDescent="0.3">
      <c r="A71" s="324" t="s">
        <v>625</v>
      </c>
      <c r="B71" s="132"/>
      <c r="C71" s="132"/>
      <c r="D71" s="132"/>
      <c r="E71" s="132"/>
      <c r="F71" s="132"/>
      <c r="G71" s="132"/>
      <c r="H71" s="132"/>
      <c r="I71" s="132"/>
      <c r="J71" s="132"/>
      <c r="K71" s="132"/>
    </row>
    <row r="72" spans="1:11" ht="10.35" customHeight="1" x14ac:dyDescent="0.3">
      <c r="A72" s="325" t="s">
        <v>551</v>
      </c>
      <c r="B72" s="136" t="s">
        <v>734</v>
      </c>
      <c r="C72" s="136"/>
      <c r="D72" s="136"/>
      <c r="E72" s="136"/>
      <c r="F72" s="136"/>
      <c r="G72" s="136"/>
      <c r="H72" s="136"/>
      <c r="I72" s="136"/>
      <c r="J72" s="136"/>
      <c r="K72" s="136"/>
    </row>
    <row r="73" spans="1:11" ht="10.35" customHeight="1" x14ac:dyDescent="0.3">
      <c r="A73" s="325" t="s">
        <v>553</v>
      </c>
      <c r="B73" s="1142" t="s">
        <v>626</v>
      </c>
      <c r="C73" s="1142"/>
      <c r="D73" s="1142"/>
      <c r="E73" s="1142"/>
      <c r="F73" s="1142"/>
      <c r="G73" s="1142"/>
      <c r="H73" s="1142"/>
      <c r="I73" s="1142"/>
      <c r="J73" s="1142"/>
      <c r="K73" s="1142"/>
    </row>
    <row r="74" spans="1:11" ht="18" customHeight="1" x14ac:dyDescent="0.3">
      <c r="A74" s="325" t="s">
        <v>555</v>
      </c>
      <c r="B74" s="1140" t="s">
        <v>627</v>
      </c>
      <c r="C74" s="1140"/>
      <c r="D74" s="1140"/>
      <c r="E74" s="1140"/>
      <c r="F74" s="1140"/>
      <c r="G74" s="1140"/>
      <c r="H74" s="1140"/>
      <c r="I74" s="1140"/>
      <c r="J74" s="1140"/>
      <c r="K74" s="1140"/>
    </row>
    <row r="75" spans="1:11" ht="18" customHeight="1" x14ac:dyDescent="0.3">
      <c r="A75" s="325" t="s">
        <v>575</v>
      </c>
      <c r="B75" s="137" t="s">
        <v>628</v>
      </c>
      <c r="C75" s="138"/>
      <c r="D75" s="138"/>
      <c r="E75" s="138"/>
      <c r="F75" s="138"/>
      <c r="G75" s="138"/>
      <c r="H75" s="138"/>
      <c r="I75" s="138"/>
      <c r="J75" s="138"/>
      <c r="K75" s="138"/>
    </row>
    <row r="76" spans="1:11" ht="18" customHeight="1" x14ac:dyDescent="0.3"/>
    <row r="77" spans="1:11" ht="18" customHeight="1" x14ac:dyDescent="0.3">
      <c r="A77" s="325"/>
      <c r="B77" s="139" t="s">
        <v>629</v>
      </c>
      <c r="C77" s="138"/>
      <c r="D77" s="138"/>
      <c r="E77" s="138"/>
      <c r="F77" s="105"/>
      <c r="G77" s="140" t="s">
        <v>630</v>
      </c>
      <c r="H77" s="138"/>
      <c r="I77" s="138"/>
      <c r="J77" s="138"/>
      <c r="K77" s="138"/>
    </row>
    <row r="78" spans="1:11" ht="18" customHeight="1" x14ac:dyDescent="0.3">
      <c r="A78" s="325"/>
      <c r="B78" s="80"/>
      <c r="C78" s="141"/>
      <c r="D78" s="141"/>
      <c r="E78" s="141"/>
      <c r="F78" s="141"/>
      <c r="G78" s="141"/>
      <c r="H78" s="141"/>
      <c r="I78" s="141"/>
      <c r="J78" s="141"/>
      <c r="K78" s="141"/>
    </row>
    <row r="79" spans="1:11" ht="16.5" customHeight="1" x14ac:dyDescent="0.3">
      <c r="B79" s="128" t="s">
        <v>426</v>
      </c>
      <c r="C79" s="129" t="str">
        <f>Development!B6&amp;"_"&amp;Development!$B$5</f>
        <v>4.1.25_2.0</v>
      </c>
      <c r="D79" s="142"/>
      <c r="E79" s="142"/>
      <c r="F79" s="142"/>
      <c r="G79" s="142"/>
      <c r="H79" s="142"/>
      <c r="I79" s="142"/>
      <c r="J79" s="130" t="s">
        <v>427</v>
      </c>
      <c r="K79" s="131" t="str">
        <f>Development!B6</f>
        <v>4.1.25</v>
      </c>
    </row>
  </sheetData>
  <sheetProtection algorithmName="SHA-512" hashValue="+d1l5+/quL38ACjhsuPJBAAe0mX1PFdGgZRmCvYmq4MrlfT10ahX9VKex0pHUthRPUuTU9MS4euXOe/Q+lJ9Cw==" saltValue="px+6R1oVUW8UjPqyucW2xg==" spinCount="100000" sheet="1" objects="1" scenarios="1"/>
  <mergeCells count="62">
    <mergeCell ref="A1:G1"/>
    <mergeCell ref="V2:AE2"/>
    <mergeCell ref="AF2:AO2"/>
    <mergeCell ref="AP2:AY2"/>
    <mergeCell ref="B2:G2"/>
    <mergeCell ref="IH2:IQ2"/>
    <mergeCell ref="IR2:IV2"/>
    <mergeCell ref="B5:K5"/>
    <mergeCell ref="B6:K6"/>
    <mergeCell ref="B9:K9"/>
    <mergeCell ref="CX2:DG2"/>
    <mergeCell ref="DH2:DQ2"/>
    <mergeCell ref="HN2:HW2"/>
    <mergeCell ref="HX2:IG2"/>
    <mergeCell ref="DR2:EA2"/>
    <mergeCell ref="EB2:EK2"/>
    <mergeCell ref="EL2:EU2"/>
    <mergeCell ref="EV2:FE2"/>
    <mergeCell ref="FF2:FO2"/>
    <mergeCell ref="FP2:FY2"/>
    <mergeCell ref="AZ2:BI2"/>
    <mergeCell ref="B10:K10"/>
    <mergeCell ref="FZ2:GI2"/>
    <mergeCell ref="GJ2:GS2"/>
    <mergeCell ref="GT2:HC2"/>
    <mergeCell ref="HD2:HM2"/>
    <mergeCell ref="BJ2:BS2"/>
    <mergeCell ref="BT2:CC2"/>
    <mergeCell ref="CD2:CM2"/>
    <mergeCell ref="CN2:CW2"/>
    <mergeCell ref="B12:K12"/>
    <mergeCell ref="B15:K15"/>
    <mergeCell ref="B17:K17"/>
    <mergeCell ref="B18:K18"/>
    <mergeCell ref="B20:K20"/>
    <mergeCell ref="B23:K23"/>
    <mergeCell ref="B24:K24"/>
    <mergeCell ref="B25:K25"/>
    <mergeCell ref="B27:K27"/>
    <mergeCell ref="B28:K28"/>
    <mergeCell ref="B30:K30"/>
    <mergeCell ref="B31:K31"/>
    <mergeCell ref="B34:K34"/>
    <mergeCell ref="B36:K36"/>
    <mergeCell ref="B38:K38"/>
    <mergeCell ref="B40:K40"/>
    <mergeCell ref="B42:K42"/>
    <mergeCell ref="B46:K46"/>
    <mergeCell ref="B48:K48"/>
    <mergeCell ref="B49:K49"/>
    <mergeCell ref="B50:K50"/>
    <mergeCell ref="B54:K54"/>
    <mergeCell ref="B56:K56"/>
    <mergeCell ref="B58:K58"/>
    <mergeCell ref="B73:K73"/>
    <mergeCell ref="B74:K74"/>
    <mergeCell ref="B59:K59"/>
    <mergeCell ref="B61:K61"/>
    <mergeCell ref="B62:K62"/>
    <mergeCell ref="B64:K64"/>
    <mergeCell ref="B66:K66"/>
    <mergeCell ref="B70:K70"/>
  </mergeCells>
  <pageMargins left="0" right="0" top="0.25" bottom="0.25" header="0.3" footer="0.3"/>
  <pageSetup scale="68"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tabColor rgb="FF00B050"/>
    <pageSetUpPr fitToPage="1"/>
  </sheetPr>
  <dimension ref="A1:IV61"/>
  <sheetViews>
    <sheetView showGridLines="0" zoomScaleNormal="100" workbookViewId="0">
      <selection sqref="A1:G1"/>
    </sheetView>
  </sheetViews>
  <sheetFormatPr defaultColWidth="0" defaultRowHeight="15" customHeight="1" zeroHeight="1" x14ac:dyDescent="0.25"/>
  <cols>
    <col min="1" max="1" width="3.7109375" style="168" customWidth="1"/>
    <col min="2" max="12" width="13.5703125" style="143" customWidth="1"/>
    <col min="13" max="20" width="8.85546875" style="143" hidden="1" customWidth="1"/>
    <col min="21" max="21" width="19.42578125" style="143" hidden="1" customWidth="1"/>
    <col min="22" max="16384" width="0" style="143" hidden="1"/>
  </cols>
  <sheetData>
    <row r="1" spans="1:256" ht="50.1" customHeight="1" x14ac:dyDescent="0.5">
      <c r="A1" s="1144" t="str">
        <f>Development!B4&amp;" "&amp;"Commercial Efficiency Program"</f>
        <v>2025 Commercial Efficiency Program</v>
      </c>
      <c r="B1" s="1144"/>
      <c r="C1" s="1144"/>
      <c r="D1" s="1144"/>
      <c r="E1" s="1144"/>
      <c r="F1" s="1144"/>
      <c r="G1" s="1144"/>
      <c r="H1" s="343"/>
      <c r="I1" s="344"/>
      <c r="J1" s="344"/>
      <c r="K1" s="322"/>
      <c r="L1" s="322"/>
      <c r="V1" s="1154"/>
      <c r="W1" s="1154"/>
      <c r="X1" s="1154"/>
      <c r="Y1" s="1154"/>
      <c r="Z1" s="1154"/>
      <c r="AA1" s="1154"/>
      <c r="AB1" s="1154"/>
      <c r="AC1" s="1154"/>
      <c r="AD1" s="1154"/>
      <c r="AE1" s="1154"/>
      <c r="AF1" s="1154"/>
      <c r="AG1" s="1154"/>
      <c r="AH1" s="1154"/>
      <c r="AI1" s="1154"/>
      <c r="AJ1" s="1154"/>
      <c r="AK1" s="1154"/>
      <c r="AL1" s="1154"/>
      <c r="AM1" s="1154"/>
      <c r="AN1" s="1154"/>
      <c r="AO1" s="1154"/>
      <c r="AP1" s="1154"/>
      <c r="AQ1" s="1154"/>
      <c r="AR1" s="1154"/>
      <c r="AS1" s="1154"/>
      <c r="AT1" s="1154"/>
      <c r="AU1" s="1154"/>
      <c r="AV1" s="1154"/>
      <c r="AW1" s="1154"/>
      <c r="AX1" s="1154"/>
      <c r="AY1" s="1154"/>
      <c r="AZ1" s="1154"/>
      <c r="BA1" s="1154"/>
      <c r="BB1" s="1154"/>
      <c r="BC1" s="1154"/>
      <c r="BD1" s="1154"/>
      <c r="BE1" s="1154"/>
      <c r="BF1" s="1154"/>
      <c r="BG1" s="1154"/>
      <c r="BH1" s="1154"/>
      <c r="BI1" s="1154"/>
      <c r="BJ1" s="1154"/>
      <c r="BK1" s="1154"/>
      <c r="BL1" s="1154"/>
      <c r="BM1" s="1154"/>
      <c r="BN1" s="1154"/>
      <c r="BO1" s="1154"/>
      <c r="BP1" s="1154"/>
      <c r="BQ1" s="1154"/>
      <c r="BR1" s="1154"/>
      <c r="BS1" s="1154"/>
      <c r="BT1" s="1154"/>
      <c r="BU1" s="1154"/>
      <c r="BV1" s="1154"/>
      <c r="BW1" s="1154"/>
      <c r="BX1" s="1154"/>
      <c r="BY1" s="1154"/>
      <c r="BZ1" s="1154"/>
      <c r="CA1" s="1154"/>
      <c r="CB1" s="1154"/>
      <c r="CC1" s="1154"/>
      <c r="CD1" s="1154"/>
      <c r="CE1" s="1154"/>
      <c r="CF1" s="1154"/>
      <c r="CG1" s="1154"/>
      <c r="CH1" s="1154"/>
      <c r="CI1" s="1154"/>
      <c r="CJ1" s="1154"/>
      <c r="CK1" s="1154"/>
      <c r="CL1" s="1154"/>
      <c r="CM1" s="1154"/>
      <c r="CN1" s="1154"/>
      <c r="CO1" s="1154"/>
      <c r="CP1" s="1154"/>
      <c r="CQ1" s="1154"/>
      <c r="CR1" s="1154"/>
      <c r="CS1" s="1154"/>
      <c r="CT1" s="1154"/>
      <c r="CU1" s="1154"/>
      <c r="CV1" s="1154"/>
      <c r="CW1" s="1154"/>
      <c r="CX1" s="1154"/>
      <c r="CY1" s="1154"/>
      <c r="CZ1" s="1154"/>
      <c r="DA1" s="1154"/>
      <c r="DB1" s="1154"/>
      <c r="DC1" s="1154"/>
      <c r="DD1" s="1154"/>
      <c r="DE1" s="1154"/>
      <c r="DF1" s="1154"/>
      <c r="DG1" s="1154"/>
      <c r="DH1" s="1154"/>
      <c r="DI1" s="1154"/>
      <c r="DJ1" s="1154"/>
      <c r="DK1" s="1154"/>
      <c r="DL1" s="1154"/>
      <c r="DM1" s="1154"/>
      <c r="DN1" s="1154"/>
      <c r="DO1" s="1154"/>
      <c r="DP1" s="1154"/>
      <c r="DQ1" s="1154"/>
      <c r="DR1" s="1154"/>
      <c r="DS1" s="1154"/>
      <c r="DT1" s="1154"/>
      <c r="DU1" s="1154"/>
      <c r="DV1" s="1154"/>
      <c r="DW1" s="1154"/>
      <c r="DX1" s="1154"/>
      <c r="DY1" s="1154"/>
      <c r="DZ1" s="1154"/>
      <c r="EA1" s="1154"/>
      <c r="EB1" s="1154"/>
      <c r="EC1" s="1154"/>
      <c r="ED1" s="1154"/>
      <c r="EE1" s="1154"/>
      <c r="EF1" s="1154"/>
      <c r="EG1" s="1154"/>
      <c r="EH1" s="1154"/>
      <c r="EI1" s="1154"/>
      <c r="EJ1" s="1154"/>
      <c r="EK1" s="1154"/>
      <c r="EL1" s="1154"/>
      <c r="EM1" s="1154"/>
      <c r="EN1" s="1154"/>
      <c r="EO1" s="1154"/>
      <c r="EP1" s="1154"/>
      <c r="EQ1" s="1154"/>
      <c r="ER1" s="1154"/>
      <c r="ES1" s="1154"/>
      <c r="ET1" s="1154"/>
      <c r="EU1" s="1154"/>
      <c r="EV1" s="1154"/>
      <c r="EW1" s="1154"/>
      <c r="EX1" s="1154"/>
      <c r="EY1" s="1154"/>
      <c r="EZ1" s="1154"/>
      <c r="FA1" s="1154"/>
      <c r="FB1" s="1154"/>
      <c r="FC1" s="1154"/>
      <c r="FD1" s="1154"/>
      <c r="FE1" s="1154"/>
      <c r="FF1" s="1154"/>
      <c r="FG1" s="1154"/>
      <c r="FH1" s="1154"/>
      <c r="FI1" s="1154"/>
      <c r="FJ1" s="1154"/>
      <c r="FK1" s="1154"/>
      <c r="FL1" s="1154"/>
      <c r="FM1" s="1154"/>
      <c r="FN1" s="1154"/>
      <c r="FO1" s="1154"/>
      <c r="FP1" s="1154"/>
      <c r="FQ1" s="1154"/>
      <c r="FR1" s="1154"/>
      <c r="FS1" s="1154"/>
      <c r="FT1" s="1154"/>
      <c r="FU1" s="1154"/>
      <c r="FV1" s="1154"/>
      <c r="FW1" s="1154"/>
      <c r="FX1" s="1154"/>
      <c r="FY1" s="1154"/>
      <c r="FZ1" s="1154"/>
      <c r="GA1" s="1154"/>
      <c r="GB1" s="1154"/>
      <c r="GC1" s="1154"/>
      <c r="GD1" s="1154"/>
      <c r="GE1" s="1154"/>
      <c r="GF1" s="1154"/>
      <c r="GG1" s="1154"/>
      <c r="GH1" s="1154"/>
      <c r="GI1" s="1154"/>
      <c r="GJ1" s="1154"/>
      <c r="GK1" s="1154"/>
      <c r="GL1" s="1154"/>
      <c r="GM1" s="1154"/>
      <c r="GN1" s="1154"/>
      <c r="GO1" s="1154"/>
      <c r="GP1" s="1154"/>
      <c r="GQ1" s="1154"/>
      <c r="GR1" s="1154"/>
      <c r="GS1" s="1154"/>
      <c r="GT1" s="1154"/>
      <c r="GU1" s="1154"/>
      <c r="GV1" s="1154"/>
      <c r="GW1" s="1154"/>
      <c r="GX1" s="1154"/>
      <c r="GY1" s="1154"/>
      <c r="GZ1" s="1154"/>
      <c r="HA1" s="1154"/>
      <c r="HB1" s="1154"/>
      <c r="HC1" s="1154"/>
      <c r="HD1" s="1154"/>
      <c r="HE1" s="1154"/>
      <c r="HF1" s="1154"/>
      <c r="HG1" s="1154"/>
      <c r="HH1" s="1154"/>
      <c r="HI1" s="1154"/>
      <c r="HJ1" s="1154"/>
      <c r="HK1" s="1154"/>
      <c r="HL1" s="1154"/>
      <c r="HM1" s="1154"/>
      <c r="HN1" s="1154"/>
      <c r="HO1" s="1154"/>
      <c r="HP1" s="1154"/>
      <c r="HQ1" s="1154"/>
      <c r="HR1" s="1154"/>
      <c r="HS1" s="1154"/>
      <c r="HT1" s="1154"/>
      <c r="HU1" s="1154"/>
      <c r="HV1" s="1154"/>
      <c r="HW1" s="1154"/>
      <c r="HX1" s="1154"/>
      <c r="HY1" s="1154"/>
      <c r="HZ1" s="1154"/>
      <c r="IA1" s="1154"/>
      <c r="IB1" s="1154"/>
      <c r="IC1" s="1154"/>
      <c r="ID1" s="1154"/>
      <c r="IE1" s="1154"/>
      <c r="IF1" s="1154"/>
      <c r="IG1" s="1154"/>
      <c r="IH1" s="1154"/>
      <c r="II1" s="1154"/>
      <c r="IJ1" s="1154"/>
      <c r="IK1" s="1154"/>
      <c r="IL1" s="1154"/>
      <c r="IM1" s="1154"/>
      <c r="IN1" s="1154"/>
      <c r="IO1" s="1154"/>
      <c r="IP1" s="1154"/>
      <c r="IQ1" s="1154"/>
      <c r="IR1" s="1154"/>
      <c r="IS1" s="1154"/>
      <c r="IT1" s="1154"/>
      <c r="IU1" s="1154"/>
      <c r="IV1" s="1154"/>
    </row>
    <row r="2" spans="1:256" s="1075" customFormat="1" ht="50.1" customHeight="1" thickBot="1" x14ac:dyDescent="0.3">
      <c r="A2" s="1047"/>
      <c r="B2" s="1145" t="s">
        <v>1878</v>
      </c>
      <c r="C2" s="1145"/>
      <c r="D2" s="1145"/>
      <c r="E2" s="1145"/>
      <c r="F2" s="1145"/>
      <c r="G2" s="1145"/>
      <c r="H2" s="1048"/>
      <c r="I2" s="1048"/>
      <c r="J2" s="1048"/>
      <c r="K2" s="1069"/>
      <c r="L2" s="1069"/>
      <c r="M2" s="1074"/>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row>
    <row r="3" spans="1:256" ht="20.25" customHeight="1" thickTop="1" x14ac:dyDescent="0.25">
      <c r="A3" s="145"/>
      <c r="B3" s="145"/>
      <c r="C3" s="145"/>
      <c r="D3" s="145"/>
      <c r="E3" s="145"/>
      <c r="F3" s="145"/>
      <c r="G3" s="145"/>
      <c r="H3" s="145"/>
      <c r="I3" s="145"/>
      <c r="J3" s="145"/>
      <c r="K3" s="145"/>
      <c r="L3" s="145"/>
      <c r="M3" s="144"/>
      <c r="V3" s="146"/>
      <c r="W3" s="146"/>
      <c r="X3" s="146"/>
      <c r="Y3" s="146"/>
      <c r="Z3" s="146"/>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c r="BB3" s="146"/>
      <c r="BC3" s="146"/>
      <c r="BD3" s="146"/>
      <c r="BE3" s="146"/>
      <c r="BF3" s="146"/>
      <c r="BG3" s="146"/>
      <c r="BH3" s="146"/>
      <c r="BI3" s="146"/>
      <c r="BJ3" s="146"/>
      <c r="BK3" s="146"/>
      <c r="BL3" s="146"/>
      <c r="BM3" s="146"/>
      <c r="BN3" s="146"/>
      <c r="BO3" s="146"/>
      <c r="BP3" s="146"/>
      <c r="BQ3" s="146"/>
      <c r="BR3" s="146"/>
      <c r="BS3" s="146"/>
      <c r="BT3" s="146"/>
      <c r="BU3" s="146"/>
      <c r="BV3" s="146"/>
      <c r="BW3" s="146"/>
      <c r="BX3" s="146"/>
      <c r="BY3" s="146"/>
      <c r="BZ3" s="146"/>
      <c r="CA3" s="146"/>
      <c r="CB3" s="146"/>
      <c r="CC3" s="146"/>
      <c r="CD3" s="146"/>
      <c r="CE3" s="146"/>
      <c r="CF3" s="146"/>
      <c r="CG3" s="146"/>
      <c r="CH3" s="146"/>
      <c r="CI3" s="146"/>
      <c r="CJ3" s="146"/>
      <c r="CK3" s="146"/>
      <c r="CL3" s="146"/>
      <c r="CM3" s="146"/>
      <c r="CN3" s="146"/>
      <c r="CO3" s="146"/>
      <c r="CP3" s="146"/>
      <c r="CQ3" s="146"/>
      <c r="CR3" s="146"/>
      <c r="CS3" s="146"/>
      <c r="CT3" s="146"/>
      <c r="CU3" s="146"/>
      <c r="CV3" s="146"/>
      <c r="CW3" s="146"/>
      <c r="CX3" s="146"/>
      <c r="CY3" s="146"/>
      <c r="CZ3" s="146"/>
      <c r="DA3" s="146"/>
      <c r="DB3" s="146"/>
      <c r="DC3" s="146"/>
      <c r="DD3" s="146"/>
      <c r="DE3" s="146"/>
      <c r="DF3" s="146"/>
      <c r="DG3" s="146"/>
      <c r="DH3" s="146"/>
      <c r="DI3" s="146"/>
      <c r="DJ3" s="146"/>
      <c r="DK3" s="146"/>
      <c r="DL3" s="146"/>
      <c r="DM3" s="146"/>
      <c r="DN3" s="146"/>
      <c r="DO3" s="146"/>
      <c r="DP3" s="146"/>
      <c r="DQ3" s="146"/>
      <c r="DR3" s="146"/>
      <c r="DS3" s="146"/>
      <c r="DT3" s="146"/>
      <c r="DU3" s="146"/>
      <c r="DV3" s="146"/>
      <c r="DW3" s="146"/>
      <c r="DX3" s="146"/>
      <c r="DY3" s="146"/>
      <c r="DZ3" s="146"/>
      <c r="EA3" s="146"/>
      <c r="EB3" s="146"/>
      <c r="EC3" s="146"/>
      <c r="ED3" s="146"/>
      <c r="EE3" s="146"/>
      <c r="EF3" s="146"/>
      <c r="EG3" s="146"/>
      <c r="EH3" s="146"/>
      <c r="EI3" s="146"/>
      <c r="EJ3" s="146"/>
      <c r="EK3" s="146"/>
      <c r="EL3" s="146"/>
      <c r="EM3" s="146"/>
      <c r="EN3" s="146"/>
      <c r="EO3" s="146"/>
      <c r="EP3" s="146"/>
      <c r="EQ3" s="146"/>
      <c r="ER3" s="146"/>
      <c r="ES3" s="146"/>
      <c r="ET3" s="146"/>
      <c r="EU3" s="146"/>
      <c r="EV3" s="146"/>
      <c r="EW3" s="146"/>
      <c r="EX3" s="146"/>
      <c r="EY3" s="146"/>
      <c r="EZ3" s="146"/>
      <c r="FA3" s="146"/>
      <c r="FB3" s="146"/>
      <c r="FC3" s="146"/>
      <c r="FD3" s="146"/>
      <c r="FE3" s="146"/>
      <c r="FF3" s="146"/>
      <c r="FG3" s="146"/>
      <c r="FH3" s="146"/>
      <c r="FI3" s="146"/>
      <c r="FJ3" s="146"/>
      <c r="FK3" s="146"/>
      <c r="FL3" s="146"/>
      <c r="FM3" s="146"/>
      <c r="FN3" s="146"/>
      <c r="FO3" s="146"/>
      <c r="FP3" s="146"/>
      <c r="FQ3" s="146"/>
      <c r="FR3" s="146"/>
      <c r="FS3" s="146"/>
      <c r="FT3" s="146"/>
      <c r="FU3" s="146"/>
      <c r="FV3" s="146"/>
      <c r="FW3" s="146"/>
      <c r="FX3" s="146"/>
      <c r="FY3" s="146"/>
      <c r="FZ3" s="146"/>
      <c r="GA3" s="146"/>
      <c r="GB3" s="146"/>
      <c r="GC3" s="146"/>
      <c r="GD3" s="146"/>
      <c r="GE3" s="146"/>
      <c r="GF3" s="146"/>
      <c r="GG3" s="146"/>
      <c r="GH3" s="146"/>
      <c r="GI3" s="146"/>
      <c r="GJ3" s="146"/>
      <c r="GK3" s="146"/>
      <c r="GL3" s="146"/>
      <c r="GM3" s="146"/>
      <c r="GN3" s="146"/>
      <c r="GO3" s="146"/>
      <c r="GP3" s="146"/>
      <c r="GQ3" s="146"/>
      <c r="GR3" s="146"/>
      <c r="GS3" s="146"/>
      <c r="GT3" s="146"/>
      <c r="GU3" s="146"/>
      <c r="GV3" s="146"/>
      <c r="GW3" s="146"/>
      <c r="GX3" s="146"/>
      <c r="GY3" s="146"/>
      <c r="GZ3" s="146"/>
      <c r="HA3" s="146"/>
      <c r="HB3" s="146"/>
      <c r="HC3" s="146"/>
      <c r="HD3" s="146"/>
      <c r="HE3" s="146"/>
      <c r="HF3" s="146"/>
      <c r="HG3" s="146"/>
      <c r="HH3" s="146"/>
      <c r="HI3" s="146"/>
      <c r="HJ3" s="146"/>
      <c r="HK3" s="146"/>
      <c r="HL3" s="146"/>
      <c r="HM3" s="146"/>
      <c r="HN3" s="146"/>
      <c r="HO3" s="146"/>
      <c r="HP3" s="146"/>
      <c r="HQ3" s="146"/>
      <c r="HR3" s="146"/>
      <c r="HS3" s="146"/>
      <c r="HT3" s="146"/>
      <c r="HU3" s="146"/>
      <c r="HV3" s="146"/>
      <c r="HW3" s="146"/>
      <c r="HX3" s="146"/>
      <c r="HY3" s="146"/>
      <c r="HZ3" s="146"/>
      <c r="IA3" s="146"/>
      <c r="IB3" s="146"/>
      <c r="IC3" s="146"/>
      <c r="ID3" s="146"/>
      <c r="IE3" s="146"/>
      <c r="IF3" s="146"/>
      <c r="IG3" s="146"/>
      <c r="IH3" s="146"/>
      <c r="II3" s="146"/>
      <c r="IJ3" s="146"/>
      <c r="IK3" s="146"/>
      <c r="IL3" s="146"/>
      <c r="IM3" s="146"/>
      <c r="IN3" s="146"/>
      <c r="IO3" s="146"/>
      <c r="IP3" s="146"/>
      <c r="IQ3" s="146"/>
      <c r="IR3" s="146"/>
      <c r="IS3" s="146"/>
      <c r="IT3" s="146"/>
      <c r="IU3" s="146"/>
      <c r="IV3" s="146"/>
    </row>
    <row r="4" spans="1:256" s="147" customFormat="1" ht="18.75" thickBot="1" x14ac:dyDescent="0.3">
      <c r="A4" s="1150" t="s">
        <v>631</v>
      </c>
      <c r="B4" s="1150"/>
      <c r="C4" s="1150"/>
      <c r="D4" s="1150"/>
      <c r="E4" s="1150"/>
      <c r="F4" s="1150"/>
      <c r="G4" s="1150"/>
      <c r="H4" s="1150"/>
      <c r="I4" s="1150"/>
      <c r="J4" s="1150"/>
      <c r="K4" s="1150"/>
      <c r="L4" s="1150"/>
    </row>
    <row r="5" spans="1:256" s="150" customFormat="1" ht="16.5" x14ac:dyDescent="0.25">
      <c r="A5" s="148" t="s">
        <v>632</v>
      </c>
      <c r="B5" s="1147" t="s">
        <v>695</v>
      </c>
      <c r="C5" s="1147"/>
      <c r="D5" s="1147"/>
      <c r="E5" s="1147"/>
      <c r="F5" s="1147"/>
      <c r="G5" s="1147"/>
      <c r="H5" s="1147"/>
      <c r="I5" s="1147"/>
      <c r="J5" s="1147"/>
      <c r="K5" s="1147"/>
      <c r="L5" s="1147"/>
      <c r="M5" s="149"/>
    </row>
    <row r="6" spans="1:256" s="150" customFormat="1" ht="16.5" customHeight="1" x14ac:dyDescent="0.25">
      <c r="A6" s="148"/>
      <c r="B6" s="1146" t="s">
        <v>1962</v>
      </c>
      <c r="C6" s="1146"/>
      <c r="D6" s="1146"/>
      <c r="E6" s="1146"/>
      <c r="F6" s="1146"/>
      <c r="G6" s="1146"/>
      <c r="H6" s="1146"/>
      <c r="I6" s="1146"/>
      <c r="J6" s="1146"/>
      <c r="K6" s="1146"/>
      <c r="L6" s="1146"/>
      <c r="M6" s="149"/>
    </row>
    <row r="7" spans="1:256" s="150" customFormat="1" ht="15.6" customHeight="1" x14ac:dyDescent="0.25">
      <c r="A7" s="148" t="s">
        <v>632</v>
      </c>
      <c r="B7" s="282" t="s">
        <v>1126</v>
      </c>
      <c r="M7" s="149"/>
    </row>
    <row r="8" spans="1:256" s="150" customFormat="1" ht="15.6" customHeight="1" x14ac:dyDescent="0.25">
      <c r="A8" s="148" t="s">
        <v>632</v>
      </c>
      <c r="B8" s="282" t="s">
        <v>1415</v>
      </c>
      <c r="M8" s="149"/>
    </row>
    <row r="9" spans="1:256" s="150" customFormat="1" ht="15.6" customHeight="1" x14ac:dyDescent="0.25">
      <c r="A9" s="148"/>
      <c r="B9" s="282" t="s">
        <v>1426</v>
      </c>
      <c r="M9" s="149"/>
    </row>
    <row r="10" spans="1:256" ht="17.100000000000001" customHeight="1" x14ac:dyDescent="0.25">
      <c r="A10" s="148" t="s">
        <v>632</v>
      </c>
      <c r="B10" s="1147" t="s">
        <v>633</v>
      </c>
      <c r="C10" s="1147"/>
      <c r="D10" s="1147"/>
      <c r="E10" s="1147"/>
      <c r="F10" s="1147"/>
      <c r="G10" s="1147"/>
      <c r="H10" s="1147"/>
      <c r="I10" s="1147"/>
      <c r="J10" s="1147"/>
      <c r="K10" s="1147"/>
      <c r="L10" s="1147"/>
    </row>
    <row r="11" spans="1:256" s="153" customFormat="1" ht="17.100000000000001" customHeight="1" x14ac:dyDescent="0.25">
      <c r="A11" s="151" t="s">
        <v>632</v>
      </c>
      <c r="B11" s="1152" t="s">
        <v>634</v>
      </c>
      <c r="C11" s="1152"/>
      <c r="D11" s="1152"/>
      <c r="E11" s="1152"/>
      <c r="F11" s="1152"/>
      <c r="G11" s="1152"/>
      <c r="H11" s="1152"/>
      <c r="I11" s="1152"/>
      <c r="J11" s="1152"/>
      <c r="K11" s="1152"/>
      <c r="L11" s="1152"/>
    </row>
    <row r="12" spans="1:256" s="153" customFormat="1" ht="17.100000000000001" customHeight="1" x14ac:dyDescent="0.25">
      <c r="A12" s="151" t="s">
        <v>632</v>
      </c>
      <c r="B12" s="1152" t="s">
        <v>1940</v>
      </c>
      <c r="C12" s="1152"/>
      <c r="D12" s="1152"/>
      <c r="E12" s="1152"/>
      <c r="F12" s="1152"/>
      <c r="G12" s="1152"/>
      <c r="H12" s="1152"/>
      <c r="I12" s="1152"/>
      <c r="J12" s="1152"/>
      <c r="K12" s="1152"/>
      <c r="L12" s="1152"/>
    </row>
    <row r="13" spans="1:256" ht="17.45" customHeight="1" x14ac:dyDescent="0.25">
      <c r="A13" s="148" t="s">
        <v>632</v>
      </c>
      <c r="B13" s="1147" t="s">
        <v>635</v>
      </c>
      <c r="C13" s="1147"/>
      <c r="D13" s="1147"/>
      <c r="E13" s="1147"/>
      <c r="F13" s="1147"/>
      <c r="G13" s="1147"/>
      <c r="H13" s="1147"/>
      <c r="I13" s="1147"/>
      <c r="J13" s="1147"/>
      <c r="K13" s="1147"/>
      <c r="L13" s="1147"/>
    </row>
    <row r="14" spans="1:256" ht="16.5" x14ac:dyDescent="0.25">
      <c r="A14" s="148" t="s">
        <v>632</v>
      </c>
      <c r="B14" s="1151" t="s">
        <v>1004</v>
      </c>
      <c r="C14" s="1151"/>
      <c r="D14" s="1151"/>
      <c r="E14" s="1151"/>
      <c r="F14" s="1151"/>
      <c r="G14" s="1151"/>
      <c r="H14" s="1151"/>
      <c r="I14" s="1151"/>
      <c r="J14" s="1151"/>
      <c r="K14" s="1151"/>
      <c r="L14" s="1151"/>
    </row>
    <row r="15" spans="1:256" ht="33.75" customHeight="1" x14ac:dyDescent="0.25">
      <c r="A15" s="148" t="s">
        <v>632</v>
      </c>
      <c r="B15" s="1148" t="s">
        <v>654</v>
      </c>
      <c r="C15" s="1148"/>
      <c r="D15" s="1148"/>
      <c r="E15" s="1148"/>
      <c r="F15" s="1148"/>
      <c r="G15" s="1148"/>
      <c r="H15" s="1148"/>
      <c r="I15" s="1148"/>
      <c r="J15" s="1148"/>
      <c r="K15" s="1148"/>
      <c r="L15" s="1148"/>
    </row>
    <row r="16" spans="1:256" s="153" customFormat="1" ht="17.45" customHeight="1" x14ac:dyDescent="0.25">
      <c r="A16" s="151" t="s">
        <v>632</v>
      </c>
      <c r="B16" s="1152" t="s">
        <v>712</v>
      </c>
      <c r="C16" s="1152"/>
      <c r="D16" s="1152"/>
      <c r="E16" s="1152"/>
      <c r="F16" s="1152"/>
      <c r="G16" s="1152"/>
      <c r="H16" s="1152"/>
      <c r="I16" s="1152"/>
      <c r="J16" s="1152"/>
      <c r="K16" s="1152"/>
      <c r="L16" s="1152"/>
    </row>
    <row r="17" spans="1:12" s="153" customFormat="1" ht="15.95" customHeight="1" x14ac:dyDescent="0.25">
      <c r="A17" s="151"/>
      <c r="B17" s="1146" t="s">
        <v>1962</v>
      </c>
      <c r="C17" s="1146"/>
      <c r="D17" s="1146"/>
      <c r="E17" s="1146"/>
      <c r="F17" s="1146"/>
      <c r="G17" s="1146"/>
      <c r="H17" s="1146"/>
      <c r="I17" s="1146"/>
      <c r="J17" s="1146"/>
      <c r="K17" s="1146"/>
      <c r="L17" s="1146"/>
    </row>
    <row r="18" spans="1:12" s="154" customFormat="1" ht="15.6" customHeight="1" x14ac:dyDescent="0.25">
      <c r="A18" s="151" t="s">
        <v>632</v>
      </c>
      <c r="B18" s="152" t="s">
        <v>701</v>
      </c>
      <c r="C18" s="152"/>
      <c r="D18" s="152"/>
      <c r="E18" s="152"/>
      <c r="F18" s="152"/>
      <c r="G18" s="152"/>
      <c r="H18" s="152"/>
      <c r="I18" s="152"/>
      <c r="J18" s="152"/>
      <c r="K18" s="152"/>
      <c r="L18" s="152"/>
    </row>
    <row r="19" spans="1:12" s="154" customFormat="1" ht="17.100000000000001" customHeight="1" x14ac:dyDescent="0.25">
      <c r="A19" s="151"/>
      <c r="B19" s="1146" t="s">
        <v>1962</v>
      </c>
      <c r="C19" s="1146"/>
      <c r="D19" s="1146"/>
      <c r="E19" s="1146"/>
      <c r="F19" s="1146"/>
      <c r="G19" s="1146"/>
      <c r="H19" s="1146"/>
      <c r="I19" s="1146"/>
      <c r="J19" s="1146"/>
      <c r="K19" s="1146"/>
      <c r="L19" s="1146"/>
    </row>
    <row r="20" spans="1:12" s="156" customFormat="1" ht="35.25" customHeight="1" x14ac:dyDescent="0.25">
      <c r="A20" s="155" t="s">
        <v>632</v>
      </c>
      <c r="B20" s="1148" t="s">
        <v>995</v>
      </c>
      <c r="C20" s="1148"/>
      <c r="D20" s="1148"/>
      <c r="E20" s="1148"/>
      <c r="F20" s="1148"/>
      <c r="G20" s="1148"/>
      <c r="H20" s="1148"/>
      <c r="I20" s="1148"/>
      <c r="J20" s="1148"/>
      <c r="K20" s="1148"/>
      <c r="L20" s="1148"/>
    </row>
    <row r="21" spans="1:12" s="156" customFormat="1" ht="16.5" x14ac:dyDescent="0.25">
      <c r="A21" s="155" t="s">
        <v>632</v>
      </c>
      <c r="B21" s="1148" t="s">
        <v>636</v>
      </c>
      <c r="C21" s="1152"/>
      <c r="D21" s="1152"/>
      <c r="E21" s="1152"/>
      <c r="F21" s="1152"/>
      <c r="G21" s="1152"/>
      <c r="H21" s="1152"/>
      <c r="I21" s="1152"/>
      <c r="J21" s="1152"/>
      <c r="K21" s="1152"/>
      <c r="L21" s="1152"/>
    </row>
    <row r="22" spans="1:12" s="150" customFormat="1" ht="16.5" x14ac:dyDescent="0.25">
      <c r="A22" s="155" t="s">
        <v>632</v>
      </c>
      <c r="B22" s="1148" t="s">
        <v>637</v>
      </c>
      <c r="C22" s="1152"/>
      <c r="D22" s="1152"/>
      <c r="E22" s="1152"/>
      <c r="F22" s="1152"/>
      <c r="G22" s="1152"/>
      <c r="H22" s="1152"/>
      <c r="I22" s="1152"/>
      <c r="J22" s="1152"/>
      <c r="K22" s="1152"/>
      <c r="L22" s="1152"/>
    </row>
    <row r="23" spans="1:12" ht="15.6" customHeight="1" x14ac:dyDescent="0.25">
      <c r="A23" s="148" t="s">
        <v>632</v>
      </c>
      <c r="B23" s="1147" t="s">
        <v>655</v>
      </c>
      <c r="C23" s="1147"/>
      <c r="D23" s="1147"/>
      <c r="E23" s="1147"/>
      <c r="F23" s="1147"/>
      <c r="G23" s="1147"/>
      <c r="H23" s="1147"/>
      <c r="I23" s="1147"/>
      <c r="J23" s="1147"/>
      <c r="K23" s="1147"/>
      <c r="L23" s="1147"/>
    </row>
    <row r="24" spans="1:12" s="150" customFormat="1" ht="16.5" customHeight="1" x14ac:dyDescent="0.25">
      <c r="A24" s="148" t="s">
        <v>632</v>
      </c>
      <c r="B24" s="1147" t="s">
        <v>638</v>
      </c>
      <c r="C24" s="1147"/>
      <c r="D24" s="1147"/>
      <c r="E24" s="1147"/>
      <c r="F24" s="1147"/>
      <c r="G24" s="1147"/>
      <c r="H24" s="1147"/>
      <c r="I24" s="1147"/>
      <c r="J24" s="1147"/>
      <c r="K24" s="1147"/>
      <c r="L24" s="149"/>
    </row>
    <row r="25" spans="1:12" s="150" customFormat="1" ht="16.5" customHeight="1" x14ac:dyDescent="0.25">
      <c r="A25" s="148" t="s">
        <v>632</v>
      </c>
      <c r="B25" s="149" t="s">
        <v>1945</v>
      </c>
      <c r="C25" s="149"/>
      <c r="D25" s="149"/>
      <c r="E25" s="149"/>
      <c r="F25" s="149"/>
      <c r="G25" s="149"/>
      <c r="H25" s="149"/>
      <c r="I25" s="149"/>
      <c r="J25" s="149"/>
      <c r="K25" s="149"/>
      <c r="L25" s="149"/>
    </row>
    <row r="26" spans="1:12" s="157" customFormat="1" ht="18" customHeight="1" x14ac:dyDescent="0.25">
      <c r="A26" s="148" t="s">
        <v>632</v>
      </c>
      <c r="B26" s="1148" t="s">
        <v>639</v>
      </c>
      <c r="C26" s="1148"/>
      <c r="D26" s="1148"/>
      <c r="E26" s="1148"/>
      <c r="F26" s="1148"/>
      <c r="G26" s="1148"/>
      <c r="H26" s="1148"/>
      <c r="I26" s="1148"/>
      <c r="J26" s="1148"/>
      <c r="K26" s="1148"/>
      <c r="L26" s="1148"/>
    </row>
    <row r="27" spans="1:12" s="157" customFormat="1" ht="30.95" customHeight="1" x14ac:dyDescent="0.25">
      <c r="A27" s="307" t="s">
        <v>632</v>
      </c>
      <c r="B27" s="1151" t="s">
        <v>1258</v>
      </c>
      <c r="C27" s="1151"/>
      <c r="D27" s="1151"/>
      <c r="E27" s="1151"/>
      <c r="F27" s="1151"/>
      <c r="G27" s="1151"/>
      <c r="H27" s="1151"/>
      <c r="I27" s="1151"/>
      <c r="J27" s="1151"/>
      <c r="K27" s="1151"/>
      <c r="L27" s="1151"/>
    </row>
    <row r="28" spans="1:12" ht="9" customHeight="1" x14ac:dyDescent="0.25">
      <c r="A28" s="150"/>
      <c r="B28" s="1149"/>
      <c r="C28" s="1149"/>
      <c r="D28" s="1149"/>
      <c r="E28" s="1149"/>
      <c r="F28" s="1149"/>
      <c r="G28" s="1149"/>
      <c r="H28" s="1149"/>
      <c r="I28" s="1149"/>
      <c r="J28" s="1149"/>
      <c r="K28" s="1149"/>
      <c r="L28" s="1149"/>
    </row>
    <row r="29" spans="1:12" s="158" customFormat="1" ht="18.75" thickBot="1" x14ac:dyDescent="0.3">
      <c r="A29" s="1150" t="s">
        <v>640</v>
      </c>
      <c r="B29" s="1150"/>
      <c r="C29" s="1150"/>
      <c r="D29" s="1150"/>
      <c r="E29" s="1150"/>
      <c r="F29" s="1150"/>
      <c r="G29" s="1150"/>
      <c r="H29" s="1150"/>
      <c r="I29" s="1150"/>
      <c r="J29" s="1150"/>
      <c r="K29" s="1150"/>
      <c r="L29" s="1150"/>
    </row>
    <row r="30" spans="1:12" ht="18" customHeight="1" x14ac:dyDescent="0.25">
      <c r="A30" s="159" t="s">
        <v>632</v>
      </c>
      <c r="B30" s="156" t="s">
        <v>641</v>
      </c>
      <c r="C30" s="150"/>
      <c r="D30" s="150"/>
      <c r="E30" s="150"/>
      <c r="F30" s="150"/>
      <c r="G30" s="150"/>
      <c r="H30" s="150"/>
      <c r="I30" s="150"/>
      <c r="J30" s="150"/>
      <c r="K30" s="150"/>
      <c r="L30" s="150"/>
    </row>
    <row r="31" spans="1:12" ht="18" customHeight="1" x14ac:dyDescent="0.25">
      <c r="A31" s="159" t="s">
        <v>632</v>
      </c>
      <c r="B31" s="1151" t="s">
        <v>642</v>
      </c>
      <c r="C31" s="1151"/>
      <c r="D31" s="1151"/>
      <c r="E31" s="1151"/>
      <c r="F31" s="1151"/>
      <c r="G31" s="1151"/>
      <c r="H31" s="1151"/>
      <c r="I31" s="1151"/>
      <c r="J31" s="1151"/>
      <c r="K31" s="1151"/>
      <c r="L31" s="1151"/>
    </row>
    <row r="32" spans="1:12" ht="16.5" x14ac:dyDescent="0.25">
      <c r="A32" s="159" t="s">
        <v>632</v>
      </c>
      <c r="B32" s="1147" t="s">
        <v>643</v>
      </c>
      <c r="C32" s="1147"/>
      <c r="D32" s="1147"/>
      <c r="E32" s="1147"/>
      <c r="F32" s="1147"/>
      <c r="G32" s="1147"/>
      <c r="H32" s="1147"/>
      <c r="I32" s="1147"/>
      <c r="J32" s="1147"/>
      <c r="K32" s="1147"/>
      <c r="L32" s="1147"/>
    </row>
    <row r="33" spans="1:12" ht="16.5" x14ac:dyDescent="0.25">
      <c r="A33" s="159"/>
      <c r="B33" s="149"/>
      <c r="C33" s="149" t="s">
        <v>644</v>
      </c>
      <c r="D33" s="149"/>
      <c r="E33" s="149"/>
      <c r="F33" s="149"/>
      <c r="G33" s="149"/>
      <c r="H33" s="149"/>
      <c r="I33" s="149"/>
      <c r="J33" s="149"/>
      <c r="K33" s="149"/>
      <c r="L33" s="149"/>
    </row>
    <row r="34" spans="1:12" s="2" customFormat="1" ht="16.5" x14ac:dyDescent="0.3">
      <c r="A34" s="159"/>
      <c r="B34" s="159"/>
      <c r="D34" s="160" t="s">
        <v>645</v>
      </c>
      <c r="E34" s="148"/>
      <c r="F34" s="148" t="s">
        <v>1008</v>
      </c>
      <c r="G34" s="148"/>
      <c r="H34" s="148"/>
      <c r="I34" s="148"/>
      <c r="J34" s="148"/>
      <c r="K34" s="148"/>
      <c r="L34" s="148"/>
    </row>
    <row r="35" spans="1:12" ht="16.5" x14ac:dyDescent="0.25">
      <c r="A35" s="159"/>
      <c r="B35" s="159"/>
      <c r="C35" s="161"/>
      <c r="D35" s="162" t="s">
        <v>646</v>
      </c>
      <c r="E35" s="162"/>
      <c r="F35" s="162"/>
      <c r="G35" s="162"/>
      <c r="H35" s="162"/>
      <c r="I35" s="162"/>
      <c r="J35" s="162"/>
      <c r="K35" s="162"/>
      <c r="L35" s="162"/>
    </row>
    <row r="36" spans="1:12" s="2" customFormat="1" ht="16.5" x14ac:dyDescent="0.3">
      <c r="A36" s="257"/>
      <c r="B36" s="156"/>
      <c r="C36" s="122"/>
      <c r="D36" s="258" t="s">
        <v>1941</v>
      </c>
      <c r="E36" s="259"/>
      <c r="F36" s="259"/>
      <c r="G36" s="259"/>
      <c r="H36" s="259"/>
      <c r="I36" s="260"/>
      <c r="J36" s="260"/>
      <c r="K36" s="260"/>
      <c r="L36" s="260"/>
    </row>
    <row r="37" spans="1:12" ht="16.5" x14ac:dyDescent="0.25">
      <c r="A37" s="159"/>
      <c r="B37" s="150"/>
      <c r="C37" s="156" t="s">
        <v>647</v>
      </c>
      <c r="D37" s="150"/>
      <c r="E37" s="150"/>
      <c r="F37" s="150"/>
      <c r="G37" s="150"/>
      <c r="H37" s="150"/>
      <c r="I37" s="150"/>
      <c r="J37" s="150"/>
      <c r="K37" s="150"/>
      <c r="L37" s="150"/>
    </row>
    <row r="38" spans="1:12" ht="12" customHeight="1" x14ac:dyDescent="0.25">
      <c r="A38" s="159"/>
      <c r="B38" s="159"/>
      <c r="C38" s="150"/>
      <c r="D38" s="150"/>
      <c r="E38" s="150"/>
      <c r="F38" s="150"/>
      <c r="G38" s="150"/>
      <c r="H38" s="150"/>
      <c r="I38" s="150"/>
      <c r="J38" s="150"/>
      <c r="K38" s="150"/>
      <c r="L38" s="150"/>
    </row>
    <row r="39" spans="1:12" ht="16.5" x14ac:dyDescent="0.25">
      <c r="A39" s="159" t="s">
        <v>632</v>
      </c>
      <c r="B39" s="163" t="s">
        <v>648</v>
      </c>
      <c r="C39" s="150"/>
      <c r="D39" s="150"/>
      <c r="E39" s="150"/>
      <c r="F39" s="150"/>
      <c r="G39" s="150"/>
      <c r="H39" s="150"/>
      <c r="I39" s="150"/>
      <c r="J39" s="150"/>
      <c r="K39" s="150"/>
      <c r="L39" s="150"/>
    </row>
    <row r="40" spans="1:12" ht="16.5" x14ac:dyDescent="0.25">
      <c r="A40" s="159"/>
      <c r="B40" s="163"/>
      <c r="C40" s="150"/>
      <c r="D40" s="150"/>
      <c r="E40" s="150"/>
      <c r="F40" s="150"/>
      <c r="G40" s="150"/>
      <c r="H40" s="150"/>
      <c r="I40" s="150"/>
      <c r="J40" s="150"/>
      <c r="K40" s="150"/>
      <c r="L40" s="150"/>
    </row>
    <row r="41" spans="1:12" ht="16.5" x14ac:dyDescent="0.25">
      <c r="A41" s="159" t="s">
        <v>632</v>
      </c>
      <c r="B41" s="164" t="s">
        <v>649</v>
      </c>
      <c r="C41" s="156"/>
      <c r="D41" s="156"/>
      <c r="E41" s="156"/>
      <c r="F41" s="156"/>
      <c r="G41" s="156"/>
      <c r="H41" s="156"/>
      <c r="I41" s="156"/>
      <c r="J41" s="156"/>
      <c r="K41" s="156"/>
      <c r="L41" s="156"/>
    </row>
    <row r="42" spans="1:12" ht="15.95" customHeight="1" x14ac:dyDescent="0.25">
      <c r="A42" s="165" t="s">
        <v>632</v>
      </c>
      <c r="B42" s="156" t="s">
        <v>650</v>
      </c>
      <c r="C42" s="156"/>
      <c r="D42" s="156"/>
      <c r="E42" s="156"/>
      <c r="F42" s="156"/>
      <c r="G42" s="156"/>
      <c r="H42" s="156"/>
      <c r="I42" s="156"/>
      <c r="J42" s="156"/>
      <c r="K42" s="156"/>
      <c r="L42" s="156"/>
    </row>
    <row r="43" spans="1:12" ht="15.95" customHeight="1" x14ac:dyDescent="0.25">
      <c r="A43" s="159" t="s">
        <v>632</v>
      </c>
      <c r="B43" s="156" t="s">
        <v>651</v>
      </c>
      <c r="C43" s="156"/>
      <c r="D43" s="156"/>
      <c r="E43" s="156"/>
      <c r="F43" s="156"/>
      <c r="G43" s="156"/>
      <c r="H43" s="156"/>
      <c r="I43" s="156"/>
      <c r="J43" s="156"/>
      <c r="K43" s="156"/>
      <c r="L43" s="156"/>
    </row>
    <row r="44" spans="1:12" ht="31.5" customHeight="1" x14ac:dyDescent="0.25">
      <c r="A44" s="159" t="s">
        <v>632</v>
      </c>
      <c r="B44" s="1148" t="s">
        <v>652</v>
      </c>
      <c r="C44" s="1148"/>
      <c r="D44" s="1148"/>
      <c r="E44" s="1148"/>
      <c r="F44" s="1148"/>
      <c r="G44" s="1148"/>
      <c r="H44" s="1148"/>
      <c r="I44" s="1148"/>
      <c r="J44" s="1148"/>
      <c r="K44" s="1148"/>
      <c r="L44" s="1148"/>
    </row>
    <row r="45" spans="1:12" ht="16.5" hidden="1" x14ac:dyDescent="0.3">
      <c r="A45" s="150"/>
      <c r="B45" s="166"/>
      <c r="C45" s="2"/>
      <c r="D45" s="2"/>
      <c r="E45" s="2"/>
      <c r="F45" s="2"/>
      <c r="G45" s="2"/>
      <c r="H45" s="2"/>
      <c r="I45" s="2"/>
      <c r="J45" s="2"/>
      <c r="K45" s="2"/>
      <c r="L45" s="2"/>
    </row>
    <row r="46" spans="1:12" ht="16.5" hidden="1" x14ac:dyDescent="0.3">
      <c r="A46" s="150"/>
      <c r="B46" s="166"/>
      <c r="C46" s="2"/>
      <c r="D46" s="2"/>
      <c r="E46" s="2"/>
      <c r="F46" s="2"/>
      <c r="G46" s="2"/>
      <c r="H46" s="2"/>
      <c r="I46" s="2"/>
      <c r="J46" s="2"/>
      <c r="K46" s="2"/>
      <c r="L46" s="2"/>
    </row>
    <row r="47" spans="1:12" ht="16.5" hidden="1" x14ac:dyDescent="0.3">
      <c r="A47" s="150"/>
      <c r="B47" s="166"/>
      <c r="C47" s="2"/>
      <c r="D47" s="2"/>
      <c r="E47" s="2"/>
      <c r="F47" s="2"/>
      <c r="G47" s="2"/>
      <c r="H47" s="2"/>
      <c r="I47" s="2"/>
      <c r="J47" s="2"/>
      <c r="K47" s="2"/>
      <c r="L47" s="2"/>
    </row>
    <row r="48" spans="1:12" ht="16.5" hidden="1" x14ac:dyDescent="0.3">
      <c r="A48" s="150"/>
      <c r="B48" s="167"/>
      <c r="C48" s="2"/>
      <c r="D48" s="2"/>
      <c r="E48" s="2"/>
      <c r="F48" s="2"/>
      <c r="G48" s="2"/>
      <c r="H48" s="2"/>
      <c r="I48" s="2"/>
      <c r="J48" s="2"/>
      <c r="K48" s="2"/>
      <c r="L48" s="2"/>
    </row>
    <row r="49" spans="1:12" ht="16.5" x14ac:dyDescent="0.3">
      <c r="A49" s="150"/>
      <c r="B49" s="2"/>
      <c r="C49" s="2"/>
      <c r="D49" s="2"/>
      <c r="E49" s="2"/>
      <c r="F49" s="2"/>
      <c r="G49" s="2"/>
      <c r="H49" s="2"/>
      <c r="I49" s="2"/>
      <c r="J49" s="2"/>
      <c r="K49" s="2"/>
      <c r="L49" s="2"/>
    </row>
    <row r="50" spans="1:12" x14ac:dyDescent="0.25"/>
    <row r="51" spans="1:12" ht="16.5" x14ac:dyDescent="0.3">
      <c r="B51" s="2" t="s">
        <v>653</v>
      </c>
      <c r="F51" s="89"/>
      <c r="G51" s="87" t="s">
        <v>630</v>
      </c>
    </row>
    <row r="52" spans="1:12" x14ac:dyDescent="0.25">
      <c r="A52" s="143"/>
    </row>
    <row r="53" spans="1:12" ht="16.5" x14ac:dyDescent="0.3">
      <c r="G53" s="87"/>
    </row>
    <row r="54" spans="1:12" ht="16.5" x14ac:dyDescent="0.3">
      <c r="G54" s="87"/>
    </row>
    <row r="55" spans="1:12" ht="16.5" x14ac:dyDescent="0.3">
      <c r="G55" s="87"/>
    </row>
    <row r="56" spans="1:12" ht="16.5" x14ac:dyDescent="0.3">
      <c r="A56" s="169"/>
      <c r="B56" s="170"/>
      <c r="C56" s="170"/>
      <c r="D56" s="170"/>
      <c r="E56" s="170"/>
      <c r="F56" s="170"/>
      <c r="G56" s="171"/>
      <c r="H56" s="170"/>
      <c r="I56" s="170"/>
      <c r="J56" s="170"/>
      <c r="K56" s="170"/>
      <c r="L56" s="170"/>
    </row>
    <row r="57" spans="1:12" x14ac:dyDescent="0.25">
      <c r="B57" s="128" t="s">
        <v>426</v>
      </c>
      <c r="C57" s="129" t="str">
        <f>Development!B6&amp;"_"&amp;Development!$B$5</f>
        <v>4.1.25_2.0</v>
      </c>
      <c r="K57" s="130" t="s">
        <v>427</v>
      </c>
      <c r="L57" s="131" t="str">
        <f>Development!B6</f>
        <v>4.1.25</v>
      </c>
    </row>
    <row r="58" spans="1:12" x14ac:dyDescent="0.25"/>
    <row r="59" spans="1:12" x14ac:dyDescent="0.25"/>
    <row r="60" spans="1:12" x14ac:dyDescent="0.25"/>
    <row r="61" spans="1:12" ht="15" customHeight="1" x14ac:dyDescent="0.25"/>
  </sheetData>
  <sheetProtection algorithmName="SHA-512" hashValue="iEUkmXbzdnFM8P2hY652tQnUgIfpfdJGSg5RxwzWF2ZPX1laWpdnw00/yTTFSorya272NEUgdozgxKHB+5smdA==" saltValue="EsTAEXuDeDbVVEbj87oegA==" spinCount="100000" sheet="1" objects="1" scenarios="1"/>
  <mergeCells count="74">
    <mergeCell ref="A1:G1"/>
    <mergeCell ref="V1:AE1"/>
    <mergeCell ref="AF1:AO1"/>
    <mergeCell ref="AP1:AY1"/>
    <mergeCell ref="AZ1:BI1"/>
    <mergeCell ref="BJ1:BS1"/>
    <mergeCell ref="BT1:CC1"/>
    <mergeCell ref="CD1:CM1"/>
    <mergeCell ref="CN1:CW1"/>
    <mergeCell ref="CX1:DG1"/>
    <mergeCell ref="DH1:DQ1"/>
    <mergeCell ref="DR1:EA1"/>
    <mergeCell ref="EB1:EK1"/>
    <mergeCell ref="EL1:EU1"/>
    <mergeCell ref="EV1:FE1"/>
    <mergeCell ref="FF1:FO1"/>
    <mergeCell ref="FP1:FY1"/>
    <mergeCell ref="FZ1:GI1"/>
    <mergeCell ref="GJ1:GS1"/>
    <mergeCell ref="GT1:HC1"/>
    <mergeCell ref="HD1:HM1"/>
    <mergeCell ref="HN1:HW1"/>
    <mergeCell ref="HX1:IG1"/>
    <mergeCell ref="IH1:IQ1"/>
    <mergeCell ref="IR1:IV1"/>
    <mergeCell ref="HN2:HW2"/>
    <mergeCell ref="HX2:IG2"/>
    <mergeCell ref="IH2:IQ2"/>
    <mergeCell ref="IR2:IV2"/>
    <mergeCell ref="GT2:HC2"/>
    <mergeCell ref="HD2:HM2"/>
    <mergeCell ref="B5:L5"/>
    <mergeCell ref="FF2:FO2"/>
    <mergeCell ref="FP2:FY2"/>
    <mergeCell ref="FZ2:GI2"/>
    <mergeCell ref="CX2:DG2"/>
    <mergeCell ref="DH2:DQ2"/>
    <mergeCell ref="DR2:EA2"/>
    <mergeCell ref="EB2:EK2"/>
    <mergeCell ref="EL2:EU2"/>
    <mergeCell ref="GJ2:GS2"/>
    <mergeCell ref="A4:L4"/>
    <mergeCell ref="BJ2:BS2"/>
    <mergeCell ref="BT2:CC2"/>
    <mergeCell ref="CD2:CM2"/>
    <mergeCell ref="CN2:CW2"/>
    <mergeCell ref="B2:G2"/>
    <mergeCell ref="V2:AE2"/>
    <mergeCell ref="AF2:AO2"/>
    <mergeCell ref="AP2:AY2"/>
    <mergeCell ref="AZ2:BI2"/>
    <mergeCell ref="EV2:FE2"/>
    <mergeCell ref="B22:L22"/>
    <mergeCell ref="B10:L10"/>
    <mergeCell ref="B11:L11"/>
    <mergeCell ref="B12:L12"/>
    <mergeCell ref="B13:L13"/>
    <mergeCell ref="B14:L14"/>
    <mergeCell ref="B6:L6"/>
    <mergeCell ref="B17:L17"/>
    <mergeCell ref="B19:L19"/>
    <mergeCell ref="B23:L23"/>
    <mergeCell ref="B44:L44"/>
    <mergeCell ref="B24:K24"/>
    <mergeCell ref="B26:L26"/>
    <mergeCell ref="B28:L28"/>
    <mergeCell ref="A29:L29"/>
    <mergeCell ref="B31:L31"/>
    <mergeCell ref="B32:L32"/>
    <mergeCell ref="B27:L27"/>
    <mergeCell ref="B15:L15"/>
    <mergeCell ref="B16:L16"/>
    <mergeCell ref="B20:L20"/>
    <mergeCell ref="B21:L21"/>
  </mergeCells>
  <hyperlinks>
    <hyperlink ref="D34" r:id="rId1" xr:uid="{00000000-0004-0000-0300-000000000000}"/>
    <hyperlink ref="B6:L6" r:id="rId2" display="https://www.psegliny.com/en/businessandcontractorservices/businessandcommercialsavings/rebates" xr:uid="{5FF9E730-D3BD-4870-9367-8CECFDF74BF8}"/>
    <hyperlink ref="B17:L17" r:id="rId3" display="https://www.psegliny.com/en/businessandcontractorservices/businessandcommercialsavings/rebates" xr:uid="{E50DEFEA-F2E1-424A-A74A-2AC6A6F40958}"/>
    <hyperlink ref="B19:L19" r:id="rId4" display="https://www.psegliny.com/en/businessandcontractorservices/businessandcommercialsavings/rebates" xr:uid="{DF4E0E39-B3F9-471C-95EA-4D56398930D6}"/>
    <hyperlink ref="B17" r:id="rId5" xr:uid="{F0F397AD-E419-4F4E-8D73-D3CF820254B2}"/>
  </hyperlinks>
  <pageMargins left="0.2" right="0.2" top="0.5" bottom="0.5" header="0.3" footer="0.3"/>
  <pageSetup scale="67" orientation="portrait" r:id="rId6"/>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tabColor rgb="FF00B050"/>
    <pageSetUpPr fitToPage="1"/>
  </sheetPr>
  <dimension ref="A1:M79"/>
  <sheetViews>
    <sheetView showGridLines="0" zoomScaleNormal="100" workbookViewId="0">
      <selection sqref="A1:E1"/>
    </sheetView>
  </sheetViews>
  <sheetFormatPr defaultColWidth="0" defaultRowHeight="16.5" customHeight="1" zeroHeight="1" x14ac:dyDescent="0.3"/>
  <cols>
    <col min="1" max="1" width="3.7109375" style="2" customWidth="1"/>
    <col min="2" max="2" width="13.85546875" style="2" customWidth="1"/>
    <col min="3" max="3" width="50.5703125" style="2" customWidth="1"/>
    <col min="4" max="4" width="8.85546875" style="2" customWidth="1"/>
    <col min="5" max="5" width="14" style="2" customWidth="1"/>
    <col min="6" max="6" width="26.42578125" style="2" customWidth="1"/>
    <col min="7" max="7" width="29" style="2" customWidth="1"/>
    <col min="8" max="8" width="4.140625" style="2" customWidth="1"/>
    <col min="9" max="13" width="8.85546875" style="2" hidden="1" customWidth="1"/>
    <col min="14" max="16384" width="9.140625" style="2" hidden="1"/>
  </cols>
  <sheetData>
    <row r="1" spans="1:10" s="267" customFormat="1" ht="50.1" customHeight="1" x14ac:dyDescent="0.3">
      <c r="A1" s="1113" t="str">
        <f>Development!B4&amp;" "&amp; "Commercial Efficiency Program"</f>
        <v>2025 Commercial Efficiency Program</v>
      </c>
      <c r="B1" s="1113"/>
      <c r="C1" s="1113"/>
      <c r="D1" s="1113"/>
      <c r="E1" s="1113"/>
      <c r="F1" s="343"/>
      <c r="G1" s="327"/>
      <c r="H1" s="328"/>
      <c r="I1" s="266"/>
      <c r="J1" s="266"/>
    </row>
    <row r="2" spans="1:10" s="1043" customFormat="1" ht="50.1" customHeight="1" thickBot="1" x14ac:dyDescent="0.35">
      <c r="A2" s="1056"/>
      <c r="B2" s="1145" t="s">
        <v>1877</v>
      </c>
      <c r="C2" s="1145"/>
      <c r="D2" s="1145"/>
      <c r="E2" s="1145"/>
      <c r="F2" s="1048"/>
      <c r="G2" s="1069"/>
      <c r="H2" s="1076"/>
      <c r="I2" s="1042"/>
      <c r="J2" s="1042"/>
    </row>
    <row r="3" spans="1:10" ht="17.25" thickTop="1" x14ac:dyDescent="0.3"/>
    <row r="4" spans="1:10" ht="18" customHeight="1" thickBot="1" x14ac:dyDescent="0.35">
      <c r="B4" s="1077" t="s">
        <v>656</v>
      </c>
      <c r="C4" s="1078"/>
      <c r="D4" s="1078"/>
      <c r="E4" s="1078"/>
      <c r="F4" s="1078"/>
      <c r="G4" s="1079"/>
    </row>
    <row r="5" spans="1:10" ht="27" customHeight="1" x14ac:dyDescent="0.3">
      <c r="B5" s="110" t="s">
        <v>657</v>
      </c>
      <c r="D5" s="116" t="s">
        <v>658</v>
      </c>
      <c r="E5" s="116"/>
      <c r="G5" s="116" t="s">
        <v>659</v>
      </c>
    </row>
    <row r="6" spans="1:10" ht="18" customHeight="1" x14ac:dyDescent="0.3">
      <c r="B6" s="172"/>
      <c r="D6" s="2" t="s">
        <v>660</v>
      </c>
      <c r="G6" s="2" t="s">
        <v>661</v>
      </c>
    </row>
    <row r="7" spans="1:10" ht="18" customHeight="1" x14ac:dyDescent="0.3">
      <c r="B7" s="172"/>
      <c r="D7" s="2" t="s">
        <v>662</v>
      </c>
      <c r="G7" s="2" t="s">
        <v>661</v>
      </c>
    </row>
    <row r="8" spans="1:10" ht="18" customHeight="1" x14ac:dyDescent="0.3">
      <c r="B8" s="172"/>
      <c r="D8" s="2" t="s">
        <v>660</v>
      </c>
      <c r="G8" s="2" t="s">
        <v>661</v>
      </c>
    </row>
    <row r="9" spans="1:10" ht="18" customHeight="1" x14ac:dyDescent="0.3">
      <c r="B9" s="172"/>
      <c r="D9" s="2" t="s">
        <v>662</v>
      </c>
      <c r="G9" s="2" t="s">
        <v>661</v>
      </c>
    </row>
    <row r="10" spans="1:10" ht="18" customHeight="1" x14ac:dyDescent="0.3">
      <c r="B10" s="172"/>
      <c r="D10" s="122" t="s">
        <v>663</v>
      </c>
      <c r="E10" s="122"/>
      <c r="G10" s="2" t="s">
        <v>661</v>
      </c>
    </row>
    <row r="11" spans="1:10" ht="18" customHeight="1" x14ac:dyDescent="0.3">
      <c r="B11" s="172"/>
      <c r="D11" s="2" t="s">
        <v>660</v>
      </c>
      <c r="G11" s="173" t="s">
        <v>661</v>
      </c>
    </row>
    <row r="12" spans="1:10" ht="18" customHeight="1" x14ac:dyDescent="0.3">
      <c r="B12" s="172"/>
      <c r="D12" s="122" t="s">
        <v>663</v>
      </c>
      <c r="E12" s="122"/>
      <c r="G12" s="2" t="s">
        <v>661</v>
      </c>
    </row>
    <row r="13" spans="1:10" ht="18" customHeight="1" x14ac:dyDescent="0.3">
      <c r="B13" s="172"/>
      <c r="D13" s="2" t="s">
        <v>660</v>
      </c>
      <c r="G13" s="2" t="s">
        <v>664</v>
      </c>
    </row>
    <row r="14" spans="1:10" ht="18" customHeight="1" x14ac:dyDescent="0.3">
      <c r="B14" s="172"/>
      <c r="D14" s="2" t="s">
        <v>660</v>
      </c>
      <c r="G14" s="2" t="s">
        <v>664</v>
      </c>
    </row>
    <row r="15" spans="1:10" ht="18" customHeight="1" x14ac:dyDescent="0.3">
      <c r="B15" s="172"/>
      <c r="D15" s="2" t="s">
        <v>663</v>
      </c>
      <c r="G15" s="2" t="s">
        <v>664</v>
      </c>
    </row>
    <row r="16" spans="1:10" ht="18" customHeight="1" x14ac:dyDescent="0.3">
      <c r="B16" s="172"/>
      <c r="G16" s="173"/>
    </row>
    <row r="17" spans="2:8" ht="18" customHeight="1" thickBot="1" x14ac:dyDescent="0.35">
      <c r="B17" s="1077" t="s">
        <v>1427</v>
      </c>
      <c r="C17" s="1077"/>
      <c r="D17" s="1077"/>
      <c r="E17" s="1077"/>
      <c r="F17" s="1077"/>
      <c r="G17" s="1080"/>
    </row>
    <row r="18" spans="2:8" ht="27" customHeight="1" x14ac:dyDescent="0.3">
      <c r="B18" s="110" t="s">
        <v>657</v>
      </c>
      <c r="D18" s="116" t="s">
        <v>658</v>
      </c>
      <c r="G18" s="116" t="s">
        <v>659</v>
      </c>
    </row>
    <row r="19" spans="2:8" ht="18" customHeight="1" x14ac:dyDescent="0.3">
      <c r="B19" s="110"/>
      <c r="D19" s="2" t="s">
        <v>839</v>
      </c>
      <c r="E19" s="116"/>
      <c r="G19" s="2" t="s">
        <v>661</v>
      </c>
    </row>
    <row r="20" spans="2:8" ht="18" customHeight="1" x14ac:dyDescent="0.3">
      <c r="B20" s="110"/>
      <c r="D20" s="2" t="s">
        <v>839</v>
      </c>
      <c r="E20" s="116"/>
      <c r="G20" s="2" t="s">
        <v>661</v>
      </c>
    </row>
    <row r="21" spans="2:8" ht="18" customHeight="1" x14ac:dyDescent="0.3">
      <c r="B21" s="110"/>
      <c r="D21" s="2" t="s">
        <v>839</v>
      </c>
      <c r="E21" s="116"/>
      <c r="G21" s="2" t="s">
        <v>661</v>
      </c>
    </row>
    <row r="22" spans="2:8" ht="18" customHeight="1" x14ac:dyDescent="0.3">
      <c r="B22" s="172"/>
      <c r="G22" s="173"/>
    </row>
    <row r="23" spans="2:8" ht="21" customHeight="1" x14ac:dyDescent="0.3">
      <c r="B23" s="174" t="s">
        <v>665</v>
      </c>
    </row>
    <row r="24" spans="2:8" ht="21" customHeight="1" x14ac:dyDescent="0.3">
      <c r="B24" s="174"/>
    </row>
    <row r="25" spans="2:8" ht="21" customHeight="1" x14ac:dyDescent="0.3">
      <c r="B25" s="1155" t="s">
        <v>666</v>
      </c>
      <c r="C25" s="1156"/>
      <c r="D25" s="89"/>
      <c r="E25" s="87" t="s">
        <v>630</v>
      </c>
    </row>
    <row r="26" spans="2:8" ht="21" customHeight="1" x14ac:dyDescent="0.3">
      <c r="B26" s="143"/>
      <c r="C26" s="143"/>
      <c r="D26" s="143"/>
      <c r="E26" s="143"/>
      <c r="F26" s="143"/>
      <c r="G26" s="143"/>
      <c r="H26" s="87"/>
    </row>
    <row r="27" spans="2:8" s="87" customFormat="1" ht="21" hidden="1" customHeight="1" x14ac:dyDescent="0.3">
      <c r="B27" s="175"/>
    </row>
    <row r="28" spans="2:8" ht="21" hidden="1" customHeight="1" x14ac:dyDescent="0.3">
      <c r="B28" s="122"/>
    </row>
    <row r="29" spans="2:8" ht="21" hidden="1" customHeight="1" x14ac:dyDescent="0.3">
      <c r="B29" s="172"/>
    </row>
    <row r="30" spans="2:8" ht="21" hidden="1" customHeight="1" x14ac:dyDescent="0.3">
      <c r="B30" s="172"/>
    </row>
    <row r="31" spans="2:8" ht="21" hidden="1" customHeight="1" x14ac:dyDescent="0.3">
      <c r="B31" s="172"/>
    </row>
    <row r="32" spans="2:8" ht="21" hidden="1" customHeight="1" x14ac:dyDescent="0.3">
      <c r="B32" s="172"/>
    </row>
    <row r="33" spans="2:7" ht="21" hidden="1" customHeight="1" x14ac:dyDescent="0.3">
      <c r="B33" s="172"/>
      <c r="D33" s="1157"/>
      <c r="E33" s="1157"/>
      <c r="F33" s="1157"/>
      <c r="G33" s="122"/>
    </row>
    <row r="34" spans="2:7" ht="21" hidden="1" customHeight="1" x14ac:dyDescent="0.3">
      <c r="B34" s="172"/>
      <c r="D34" s="1157"/>
      <c r="E34" s="1157"/>
      <c r="F34" s="1157"/>
    </row>
    <row r="35" spans="2:7" s="7" customFormat="1" ht="21" hidden="1" customHeight="1" x14ac:dyDescent="0.2"/>
    <row r="36" spans="2:7" ht="13.35" hidden="1" customHeight="1" x14ac:dyDescent="0.3"/>
    <row r="37" spans="2:7" ht="13.35" hidden="1" customHeight="1" x14ac:dyDescent="0.3"/>
    <row r="38" spans="2:7" ht="15.6" hidden="1" customHeight="1" x14ac:dyDescent="0.3">
      <c r="C38" s="176"/>
      <c r="D38" s="7"/>
      <c r="E38" s="7"/>
      <c r="F38" s="124"/>
    </row>
    <row r="39" spans="2:7" hidden="1" x14ac:dyDescent="0.3">
      <c r="G39" s="106"/>
    </row>
    <row r="40" spans="2:7" hidden="1" x14ac:dyDescent="0.3"/>
    <row r="41" spans="2:7" hidden="1" x14ac:dyDescent="0.3"/>
    <row r="42" spans="2:7" hidden="1" x14ac:dyDescent="0.3"/>
    <row r="43" spans="2:7" hidden="1" x14ac:dyDescent="0.3"/>
    <row r="44" spans="2:7" hidden="1" x14ac:dyDescent="0.3"/>
    <row r="45" spans="2:7" hidden="1" x14ac:dyDescent="0.3"/>
    <row r="46" spans="2:7" hidden="1" x14ac:dyDescent="0.3"/>
    <row r="47" spans="2:7" hidden="1" x14ac:dyDescent="0.3"/>
    <row r="48" spans="2:7" hidden="1" x14ac:dyDescent="0.3"/>
    <row r="49" spans="2:7" hidden="1" x14ac:dyDescent="0.3"/>
    <row r="50" spans="2:7" hidden="1" x14ac:dyDescent="0.3"/>
    <row r="51" spans="2:7" hidden="1" x14ac:dyDescent="0.3"/>
    <row r="52" spans="2:7" hidden="1" x14ac:dyDescent="0.3"/>
    <row r="53" spans="2:7" hidden="1" x14ac:dyDescent="0.3"/>
    <row r="54" spans="2:7" hidden="1" x14ac:dyDescent="0.3"/>
    <row r="55" spans="2:7" hidden="1" x14ac:dyDescent="0.3"/>
    <row r="56" spans="2:7" hidden="1" x14ac:dyDescent="0.3"/>
    <row r="57" spans="2:7" hidden="1" x14ac:dyDescent="0.3"/>
    <row r="58" spans="2:7" x14ac:dyDescent="0.3">
      <c r="B58" s="80"/>
      <c r="C58" s="80"/>
      <c r="D58" s="80"/>
      <c r="E58" s="80"/>
      <c r="F58" s="80"/>
      <c r="G58" s="80"/>
    </row>
    <row r="59" spans="2:7" x14ac:dyDescent="0.3">
      <c r="B59" s="128" t="s">
        <v>426</v>
      </c>
      <c r="C59" s="129" t="str">
        <f>Development!B6&amp;"_"&amp;Development!$B$5</f>
        <v>4.1.25_2.0</v>
      </c>
      <c r="F59" s="130" t="s">
        <v>427</v>
      </c>
      <c r="G59" s="131" t="str">
        <f>Development!B6</f>
        <v>4.1.25</v>
      </c>
    </row>
    <row r="60" spans="2:7" x14ac:dyDescent="0.3"/>
    <row r="61" spans="2:7" x14ac:dyDescent="0.3"/>
    <row r="62" spans="2:7" x14ac:dyDescent="0.3"/>
    <row r="63" spans="2:7" x14ac:dyDescent="0.3"/>
    <row r="64" spans="2:7" x14ac:dyDescent="0.3"/>
    <row r="65"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sheetData>
  <sheetProtection algorithmName="SHA-512" hashValue="It0sE4xsEUuvWA8ibkvdr1qy7bTkBl0vrKa7tRsJ+ESclVEB46qZQ6bOYASMWEZgGekX6zSsHgeSj6uPBHi4uw==" saltValue="ZkD83XzfWS76Q4QCIXoVCA==" spinCount="100000" sheet="1" objects="1" scenarios="1"/>
  <mergeCells count="5">
    <mergeCell ref="B2:E2"/>
    <mergeCell ref="B25:C25"/>
    <mergeCell ref="D33:F33"/>
    <mergeCell ref="D34:F34"/>
    <mergeCell ref="A1:E1"/>
  </mergeCells>
  <printOptions horizontalCentered="1"/>
  <pageMargins left="0" right="0" top="0.25" bottom="0.25" header="0.3" footer="0.3"/>
  <pageSetup scale="6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255</xdr:col>
                    <xdr:colOff>0</xdr:colOff>
                    <xdr:row>3</xdr:row>
                    <xdr:rowOff>0</xdr:rowOff>
                  </from>
                  <to>
                    <xdr:col>256</xdr:col>
                    <xdr:colOff>0</xdr:colOff>
                    <xdr:row>3</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255</xdr:col>
                    <xdr:colOff>0</xdr:colOff>
                    <xdr:row>3</xdr:row>
                    <xdr:rowOff>0</xdr:rowOff>
                  </from>
                  <to>
                    <xdr:col>256</xdr:col>
                    <xdr:colOff>0</xdr:colOff>
                    <xdr:row>3</xdr:row>
                    <xdr:rowOff>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1</xdr:col>
                    <xdr:colOff>1200150</xdr:colOff>
                    <xdr:row>5</xdr:row>
                    <xdr:rowOff>66675</xdr:rowOff>
                  </from>
                  <to>
                    <xdr:col>3</xdr:col>
                    <xdr:colOff>0</xdr:colOff>
                    <xdr:row>6</xdr:row>
                    <xdr:rowOff>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1</xdr:col>
                    <xdr:colOff>1200150</xdr:colOff>
                    <xdr:row>6</xdr:row>
                    <xdr:rowOff>66675</xdr:rowOff>
                  </from>
                  <to>
                    <xdr:col>3</xdr:col>
                    <xdr:colOff>0</xdr:colOff>
                    <xdr:row>7</xdr:row>
                    <xdr:rowOff>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xdr:col>
                    <xdr:colOff>1200150</xdr:colOff>
                    <xdr:row>12</xdr:row>
                    <xdr:rowOff>66675</xdr:rowOff>
                  </from>
                  <to>
                    <xdr:col>3</xdr:col>
                    <xdr:colOff>0</xdr:colOff>
                    <xdr:row>13</xdr:row>
                    <xdr:rowOff>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1</xdr:col>
                    <xdr:colOff>1200150</xdr:colOff>
                    <xdr:row>8</xdr:row>
                    <xdr:rowOff>47625</xdr:rowOff>
                  </from>
                  <to>
                    <xdr:col>3</xdr:col>
                    <xdr:colOff>0</xdr:colOff>
                    <xdr:row>9</xdr:row>
                    <xdr:rowOff>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1</xdr:col>
                    <xdr:colOff>1200150</xdr:colOff>
                    <xdr:row>13</xdr:row>
                    <xdr:rowOff>66675</xdr:rowOff>
                  </from>
                  <to>
                    <xdr:col>3</xdr:col>
                    <xdr:colOff>0</xdr:colOff>
                    <xdr:row>14</xdr:row>
                    <xdr:rowOff>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1</xdr:col>
                    <xdr:colOff>1200150</xdr:colOff>
                    <xdr:row>11</xdr:row>
                    <xdr:rowOff>66675</xdr:rowOff>
                  </from>
                  <to>
                    <xdr:col>3</xdr:col>
                    <xdr:colOff>0</xdr:colOff>
                    <xdr:row>12</xdr:row>
                    <xdr:rowOff>0</xdr:rowOff>
                  </to>
                </anchor>
              </controlPr>
            </control>
          </mc:Choice>
        </mc:AlternateContent>
        <mc:AlternateContent xmlns:mc="http://schemas.openxmlformats.org/markup-compatibility/2006">
          <mc:Choice Requires="x14">
            <control shapeId="29712" r:id="rId12" name="Check Box 16">
              <controlPr defaultSize="0" autoFill="0" autoLine="0" autoPict="0">
                <anchor moveWithCells="1">
                  <from>
                    <xdr:col>1</xdr:col>
                    <xdr:colOff>1200150</xdr:colOff>
                    <xdr:row>9</xdr:row>
                    <xdr:rowOff>66675</xdr:rowOff>
                  </from>
                  <to>
                    <xdr:col>3</xdr:col>
                    <xdr:colOff>0</xdr:colOff>
                    <xdr:row>10</xdr:row>
                    <xdr:rowOff>0</xdr:rowOff>
                  </to>
                </anchor>
              </controlPr>
            </control>
          </mc:Choice>
        </mc:AlternateContent>
        <mc:AlternateContent xmlns:mc="http://schemas.openxmlformats.org/markup-compatibility/2006">
          <mc:Choice Requires="x14">
            <control shapeId="29714" r:id="rId13" name="Check Box 18">
              <controlPr defaultSize="0" autoFill="0" autoLine="0" autoPict="0">
                <anchor moveWithCells="1">
                  <from>
                    <xdr:col>2</xdr:col>
                    <xdr:colOff>9525</xdr:colOff>
                    <xdr:row>10</xdr:row>
                    <xdr:rowOff>76200</xdr:rowOff>
                  </from>
                  <to>
                    <xdr:col>3</xdr:col>
                    <xdr:colOff>9525</xdr:colOff>
                    <xdr:row>10</xdr:row>
                    <xdr:rowOff>219075</xdr:rowOff>
                  </to>
                </anchor>
              </controlPr>
            </control>
          </mc:Choice>
        </mc:AlternateContent>
        <mc:AlternateContent xmlns:mc="http://schemas.openxmlformats.org/markup-compatibility/2006">
          <mc:Choice Requires="x14">
            <control shapeId="29717" r:id="rId14" name="Check Box 21">
              <controlPr defaultSize="0" autoFill="0" autoLine="0" autoPict="0">
                <anchor moveWithCells="1">
                  <from>
                    <xdr:col>1</xdr:col>
                    <xdr:colOff>1200150</xdr:colOff>
                    <xdr:row>7</xdr:row>
                    <xdr:rowOff>66675</xdr:rowOff>
                  </from>
                  <to>
                    <xdr:col>3</xdr:col>
                    <xdr:colOff>0</xdr:colOff>
                    <xdr:row>8</xdr:row>
                    <xdr:rowOff>0</xdr:rowOff>
                  </to>
                </anchor>
              </controlPr>
            </control>
          </mc:Choice>
        </mc:AlternateContent>
        <mc:AlternateContent xmlns:mc="http://schemas.openxmlformats.org/markup-compatibility/2006">
          <mc:Choice Requires="x14">
            <control shapeId="29722" r:id="rId15" name="Check Box 26">
              <controlPr defaultSize="0" autoFill="0" autoLine="0" autoPict="0">
                <anchor moveWithCells="1">
                  <from>
                    <xdr:col>2</xdr:col>
                    <xdr:colOff>0</xdr:colOff>
                    <xdr:row>14</xdr:row>
                    <xdr:rowOff>57150</xdr:rowOff>
                  </from>
                  <to>
                    <xdr:col>2</xdr:col>
                    <xdr:colOff>2133600</xdr:colOff>
                    <xdr:row>15</xdr:row>
                    <xdr:rowOff>47625</xdr:rowOff>
                  </to>
                </anchor>
              </controlPr>
            </control>
          </mc:Choice>
        </mc:AlternateContent>
        <mc:AlternateContent xmlns:mc="http://schemas.openxmlformats.org/markup-compatibility/2006">
          <mc:Choice Requires="x14">
            <control shapeId="29723" r:id="rId16" name="Check Box 27">
              <controlPr defaultSize="0" autoFill="0" autoLine="0" autoPict="0">
                <anchor moveWithCells="1">
                  <from>
                    <xdr:col>1</xdr:col>
                    <xdr:colOff>923925</xdr:colOff>
                    <xdr:row>18</xdr:row>
                    <xdr:rowOff>19050</xdr:rowOff>
                  </from>
                  <to>
                    <xdr:col>2</xdr:col>
                    <xdr:colOff>2095500</xdr:colOff>
                    <xdr:row>19</xdr:row>
                    <xdr:rowOff>9525</xdr:rowOff>
                  </to>
                </anchor>
              </controlPr>
            </control>
          </mc:Choice>
        </mc:AlternateContent>
        <mc:AlternateContent xmlns:mc="http://schemas.openxmlformats.org/markup-compatibility/2006">
          <mc:Choice Requires="x14">
            <control shapeId="29724" r:id="rId17" name="Check Box 28">
              <controlPr defaultSize="0" autoFill="0" autoLine="0" autoPict="0">
                <anchor moveWithCells="1">
                  <from>
                    <xdr:col>1</xdr:col>
                    <xdr:colOff>914400</xdr:colOff>
                    <xdr:row>18</xdr:row>
                    <xdr:rowOff>219075</xdr:rowOff>
                  </from>
                  <to>
                    <xdr:col>2</xdr:col>
                    <xdr:colOff>2085975</xdr:colOff>
                    <xdr:row>19</xdr:row>
                    <xdr:rowOff>209550</xdr:rowOff>
                  </to>
                </anchor>
              </controlPr>
            </control>
          </mc:Choice>
        </mc:AlternateContent>
        <mc:AlternateContent xmlns:mc="http://schemas.openxmlformats.org/markup-compatibility/2006">
          <mc:Choice Requires="x14">
            <control shapeId="29725" r:id="rId18" name="Check Box 29">
              <controlPr defaultSize="0" autoFill="0" autoLine="0" autoPict="0">
                <anchor moveWithCells="1">
                  <from>
                    <xdr:col>1</xdr:col>
                    <xdr:colOff>914400</xdr:colOff>
                    <xdr:row>19</xdr:row>
                    <xdr:rowOff>180975</xdr:rowOff>
                  </from>
                  <to>
                    <xdr:col>2</xdr:col>
                    <xdr:colOff>2095500</xdr:colOff>
                    <xdr:row>20</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F3300"/>
    <pageSetUpPr fitToPage="1"/>
  </sheetPr>
  <dimension ref="A1:IT139"/>
  <sheetViews>
    <sheetView showGridLines="0" zoomScaleNormal="100" workbookViewId="0">
      <selection sqref="A1:G1"/>
    </sheetView>
  </sheetViews>
  <sheetFormatPr defaultColWidth="0" defaultRowHeight="0" customHeight="1" zeroHeight="1" x14ac:dyDescent="0.2"/>
  <cols>
    <col min="1" max="1" width="3.7109375" style="192" customWidth="1"/>
    <col min="2" max="2" width="3.42578125" style="192" customWidth="1"/>
    <col min="3" max="3" width="23.85546875" style="194" customWidth="1"/>
    <col min="4" max="4" width="41.7109375" style="194" customWidth="1"/>
    <col min="5" max="5" width="19.85546875" style="192" customWidth="1"/>
    <col min="6" max="6" width="18.42578125" style="192" customWidth="1"/>
    <col min="7" max="7" width="3.5703125" style="192" customWidth="1"/>
    <col min="8" max="8" width="20.42578125" style="192" customWidth="1"/>
    <col min="9" max="10" width="17.7109375" style="192" customWidth="1"/>
    <col min="11" max="11" width="18.140625" style="6" customWidth="1"/>
    <col min="12" max="12" width="17.42578125" style="6" customWidth="1"/>
    <col min="13" max="13" width="9.140625" style="192" customWidth="1"/>
    <col min="14" max="14" width="5.42578125" style="192" customWidth="1"/>
    <col min="15" max="244" width="9.140625" style="192" hidden="1" customWidth="1"/>
    <col min="245" max="245" width="19.5703125" style="192" hidden="1" customWidth="1"/>
    <col min="246" max="250" width="9.140625" style="192" hidden="1" customWidth="1"/>
    <col min="251" max="252" width="19.5703125" style="192" hidden="1" customWidth="1"/>
    <col min="253" max="254" width="9.140625" style="192" hidden="1" customWidth="1"/>
    <col min="255" max="16384" width="19.5703125" style="192" hidden="1"/>
  </cols>
  <sheetData>
    <row r="1" spans="1:245" s="2" customFormat="1" ht="50.1" customHeight="1" x14ac:dyDescent="0.3">
      <c r="A1" s="1189" t="str">
        <f>Development!B4&amp;" "&amp; "Commercial Efficiency Program"</f>
        <v>2025 Commercial Efficiency Program</v>
      </c>
      <c r="B1" s="1189"/>
      <c r="C1" s="1189"/>
      <c r="D1" s="1189"/>
      <c r="E1" s="1189"/>
      <c r="F1" s="1189"/>
      <c r="G1" s="1189"/>
      <c r="H1" s="342"/>
      <c r="I1" s="342"/>
      <c r="J1" s="342"/>
      <c r="K1" s="329"/>
      <c r="L1" s="329"/>
      <c r="M1" s="329"/>
      <c r="N1" s="329"/>
    </row>
    <row r="2" spans="1:245" s="1058" customFormat="1" ht="50.1" customHeight="1" thickBot="1" x14ac:dyDescent="0.35">
      <c r="A2" s="1056"/>
      <c r="B2" s="1197" t="s">
        <v>1880</v>
      </c>
      <c r="C2" s="1197"/>
      <c r="D2" s="1197"/>
      <c r="E2" s="1197"/>
      <c r="F2" s="1197"/>
      <c r="G2" s="1197"/>
      <c r="H2" s="1042"/>
      <c r="I2" s="1042"/>
      <c r="J2" s="1042"/>
      <c r="K2" s="1057"/>
      <c r="L2" s="1057"/>
      <c r="M2" s="1057"/>
      <c r="N2" s="1057"/>
    </row>
    <row r="3" spans="1:245" s="177" customFormat="1" ht="34.5" customHeight="1" thickTop="1" x14ac:dyDescent="0.25">
      <c r="B3" s="1178" t="s">
        <v>1128</v>
      </c>
      <c r="C3" s="1178"/>
      <c r="D3" s="1178"/>
      <c r="E3" s="1178"/>
      <c r="F3" s="1178"/>
      <c r="G3" s="1178"/>
      <c r="H3" s="1178"/>
      <c r="I3" s="1178"/>
      <c r="J3" s="1178"/>
      <c r="K3" s="1178"/>
      <c r="L3" s="1178"/>
      <c r="M3" s="1178"/>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row>
    <row r="4" spans="1:245" s="177" customFormat="1" ht="24.95" customHeight="1" x14ac:dyDescent="0.25">
      <c r="B4" s="330" t="s">
        <v>404</v>
      </c>
      <c r="C4" s="178"/>
      <c r="D4" s="178"/>
      <c r="E4" s="178"/>
      <c r="F4" s="178"/>
      <c r="G4" s="178"/>
      <c r="H4" s="178"/>
      <c r="I4" s="178"/>
      <c r="J4" s="178"/>
    </row>
    <row r="5" spans="1:245" s="173" customFormat="1" ht="16.5" customHeight="1" x14ac:dyDescent="0.25">
      <c r="B5" s="279" t="s">
        <v>1070</v>
      </c>
      <c r="C5" s="180" t="s">
        <v>1127</v>
      </c>
      <c r="D5" s="180"/>
      <c r="E5" s="179"/>
      <c r="F5" s="179"/>
      <c r="G5" s="179"/>
      <c r="H5" s="179"/>
      <c r="I5" s="179"/>
      <c r="J5" s="179"/>
    </row>
    <row r="6" spans="1:245" s="173" customFormat="1" ht="16.5" customHeight="1" x14ac:dyDescent="0.25">
      <c r="B6" s="279" t="s">
        <v>1070</v>
      </c>
      <c r="C6" s="180" t="s">
        <v>1003</v>
      </c>
      <c r="D6" s="180"/>
      <c r="E6" s="179"/>
      <c r="F6" s="179"/>
      <c r="G6" s="179"/>
      <c r="H6" s="179"/>
      <c r="I6" s="179"/>
      <c r="J6" s="179"/>
    </row>
    <row r="7" spans="1:245" s="173" customFormat="1" ht="16.5" customHeight="1" x14ac:dyDescent="0.25">
      <c r="B7" s="279" t="s">
        <v>1070</v>
      </c>
      <c r="C7" s="180" t="s">
        <v>1129</v>
      </c>
      <c r="D7" s="180"/>
      <c r="E7" s="179"/>
      <c r="F7" s="179"/>
      <c r="G7" s="179"/>
      <c r="H7" s="179"/>
      <c r="I7" s="179"/>
      <c r="J7" s="179"/>
    </row>
    <row r="8" spans="1:245" s="173" customFormat="1" ht="16.5" customHeight="1" x14ac:dyDescent="0.25">
      <c r="B8" s="279"/>
      <c r="C8" s="362" t="s">
        <v>1452</v>
      </c>
      <c r="D8" s="180"/>
      <c r="E8" s="179"/>
      <c r="F8" s="179"/>
      <c r="G8" s="179"/>
      <c r="H8" s="179"/>
      <c r="I8" s="179"/>
      <c r="J8" s="179"/>
    </row>
    <row r="9" spans="1:245" s="308" customFormat="1" ht="16.5" customHeight="1" x14ac:dyDescent="0.25">
      <c r="B9" s="309" t="s">
        <v>1070</v>
      </c>
      <c r="C9" s="310" t="s">
        <v>1423</v>
      </c>
      <c r="D9" s="310"/>
      <c r="E9" s="311"/>
      <c r="F9" s="311"/>
      <c r="G9" s="311"/>
      <c r="H9" s="311"/>
      <c r="I9" s="311"/>
      <c r="J9" s="311"/>
    </row>
    <row r="10" spans="1:245" s="308" customFormat="1" ht="16.5" customHeight="1" x14ac:dyDescent="0.25">
      <c r="B10" s="309" t="s">
        <v>1070</v>
      </c>
      <c r="C10" s="310" t="s">
        <v>1296</v>
      </c>
      <c r="D10" s="310"/>
      <c r="E10" s="311"/>
      <c r="F10" s="311"/>
      <c r="G10" s="311"/>
      <c r="H10" s="311"/>
      <c r="I10" s="311"/>
      <c r="J10" s="311"/>
    </row>
    <row r="11" spans="1:245" s="143" customFormat="1" ht="30" customHeight="1" x14ac:dyDescent="0.3">
      <c r="B11" s="309" t="s">
        <v>1070</v>
      </c>
      <c r="C11" s="1200" t="s">
        <v>1899</v>
      </c>
      <c r="D11" s="1200"/>
      <c r="E11" s="1200"/>
      <c r="F11" s="1200"/>
      <c r="G11" s="1200"/>
      <c r="H11" s="1200"/>
      <c r="I11" s="1200"/>
      <c r="J11" s="1200"/>
      <c r="K11" s="1200"/>
      <c r="L11" s="1200"/>
      <c r="M11" s="361"/>
      <c r="N11" s="361"/>
      <c r="O11" s="361"/>
      <c r="P11" s="109"/>
    </row>
    <row r="12" spans="1:245" s="239" customFormat="1" ht="23.25" customHeight="1" x14ac:dyDescent="0.25">
      <c r="C12" s="240"/>
      <c r="D12" s="240"/>
      <c r="E12" s="241"/>
      <c r="F12" s="243"/>
      <c r="G12" s="242"/>
      <c r="H12" s="241"/>
      <c r="I12" s="241"/>
      <c r="J12" s="244"/>
    </row>
    <row r="13" spans="1:245" s="239" customFormat="1" ht="57" customHeight="1" x14ac:dyDescent="0.25">
      <c r="C13" s="1194" t="s">
        <v>91</v>
      </c>
      <c r="D13" s="1195"/>
      <c r="E13" s="1195"/>
      <c r="F13" s="1196"/>
      <c r="G13" s="331"/>
      <c r="H13" s="1198" t="s">
        <v>806</v>
      </c>
      <c r="I13" s="1199"/>
      <c r="J13" s="1199"/>
      <c r="K13" s="1199"/>
    </row>
    <row r="14" spans="1:245" s="239" customFormat="1" ht="42" customHeight="1" x14ac:dyDescent="0.25">
      <c r="C14" s="183" t="s">
        <v>9</v>
      </c>
      <c r="D14" s="183" t="s">
        <v>803</v>
      </c>
      <c r="E14" s="183" t="s">
        <v>13</v>
      </c>
      <c r="F14" s="184" t="s">
        <v>10</v>
      </c>
      <c r="G14" s="185"/>
      <c r="H14" s="183" t="s">
        <v>118</v>
      </c>
      <c r="I14" s="183" t="s">
        <v>158</v>
      </c>
      <c r="J14" s="183" t="s">
        <v>802</v>
      </c>
      <c r="K14" s="183" t="s">
        <v>1891</v>
      </c>
    </row>
    <row r="15" spans="1:245" s="182" customFormat="1" ht="54" customHeight="1" x14ac:dyDescent="0.25">
      <c r="C15" s="1162" t="s">
        <v>445</v>
      </c>
      <c r="D15" s="222"/>
      <c r="E15" s="190" t="s">
        <v>444</v>
      </c>
      <c r="F15" s="188" t="s">
        <v>119</v>
      </c>
      <c r="G15" s="189"/>
      <c r="H15" s="186" t="s">
        <v>446</v>
      </c>
      <c r="I15" s="186" t="s">
        <v>447</v>
      </c>
      <c r="J15" s="224">
        <v>0.55000000000000004</v>
      </c>
      <c r="K15" s="224">
        <v>0.7</v>
      </c>
    </row>
    <row r="16" spans="1:245" s="182" customFormat="1" ht="54" customHeight="1" x14ac:dyDescent="0.25">
      <c r="C16" s="1163"/>
      <c r="D16" s="222"/>
      <c r="E16" s="191" t="s">
        <v>448</v>
      </c>
      <c r="F16" s="188" t="s">
        <v>119</v>
      </c>
      <c r="G16" s="189"/>
      <c r="H16" s="186" t="s">
        <v>449</v>
      </c>
      <c r="I16" s="186" t="s">
        <v>450</v>
      </c>
      <c r="J16" s="224">
        <v>0.55000000000000004</v>
      </c>
      <c r="K16" s="224">
        <v>0.7</v>
      </c>
    </row>
    <row r="17" spans="2:16" s="182" customFormat="1" ht="54" customHeight="1" x14ac:dyDescent="0.25">
      <c r="C17" s="1164"/>
      <c r="D17" s="191"/>
      <c r="E17" s="190" t="s">
        <v>451</v>
      </c>
      <c r="F17" s="188" t="s">
        <v>119</v>
      </c>
      <c r="G17" s="189"/>
      <c r="H17" s="186" t="s">
        <v>146</v>
      </c>
      <c r="I17" s="186" t="s">
        <v>452</v>
      </c>
      <c r="J17" s="224">
        <v>0.55000000000000004</v>
      </c>
      <c r="K17" s="224">
        <v>0.7</v>
      </c>
    </row>
    <row r="18" spans="2:16" s="182" customFormat="1" ht="144" customHeight="1" x14ac:dyDescent="0.25">
      <c r="C18" s="186" t="s">
        <v>120</v>
      </c>
      <c r="D18" s="186"/>
      <c r="E18" s="186" t="s">
        <v>62</v>
      </c>
      <c r="F18" s="188" t="s">
        <v>119</v>
      </c>
      <c r="G18" s="189"/>
      <c r="H18" s="186" t="s">
        <v>89</v>
      </c>
      <c r="I18" s="186" t="s">
        <v>159</v>
      </c>
      <c r="J18" s="224">
        <v>0.55000000000000004</v>
      </c>
      <c r="K18" s="224">
        <v>0.7</v>
      </c>
    </row>
    <row r="19" spans="2:16" ht="73.7" customHeight="1" x14ac:dyDescent="0.2">
      <c r="C19" s="1173" t="s">
        <v>121</v>
      </c>
      <c r="D19" s="1162"/>
      <c r="E19" s="1173" t="s">
        <v>62</v>
      </c>
      <c r="F19" s="188" t="s">
        <v>11</v>
      </c>
      <c r="G19" s="189"/>
      <c r="H19" s="186" t="s">
        <v>453</v>
      </c>
      <c r="I19" s="186" t="s">
        <v>233</v>
      </c>
      <c r="J19" s="224">
        <v>0.55000000000000004</v>
      </c>
      <c r="K19" s="224">
        <v>0.7</v>
      </c>
      <c r="P19" s="182"/>
    </row>
    <row r="20" spans="2:16" ht="74.45" customHeight="1" x14ac:dyDescent="0.2">
      <c r="C20" s="1173"/>
      <c r="D20" s="1163"/>
      <c r="E20" s="1158"/>
      <c r="F20" s="188" t="s">
        <v>71</v>
      </c>
      <c r="G20" s="189"/>
      <c r="H20" s="186" t="s">
        <v>454</v>
      </c>
      <c r="I20" s="186" t="s">
        <v>234</v>
      </c>
      <c r="J20" s="224">
        <v>0.55000000000000004</v>
      </c>
      <c r="K20" s="224">
        <v>0.7</v>
      </c>
      <c r="P20" s="182"/>
    </row>
    <row r="21" spans="2:16" ht="36" customHeight="1" x14ac:dyDescent="0.2">
      <c r="C21" s="1173"/>
      <c r="D21" s="1163"/>
      <c r="E21" s="1173" t="s">
        <v>70</v>
      </c>
      <c r="F21" s="188" t="s">
        <v>11</v>
      </c>
      <c r="G21" s="189"/>
      <c r="H21" s="186" t="s">
        <v>1406</v>
      </c>
      <c r="I21" s="188" t="s">
        <v>235</v>
      </c>
      <c r="J21" s="224">
        <v>0.55000000000000004</v>
      </c>
      <c r="K21" s="224">
        <v>0.7</v>
      </c>
    </row>
    <row r="22" spans="2:16" ht="36" customHeight="1" x14ac:dyDescent="0.2">
      <c r="C22" s="1173"/>
      <c r="D22" s="1163"/>
      <c r="E22" s="1173"/>
      <c r="F22" s="188" t="s">
        <v>71</v>
      </c>
      <c r="G22" s="189"/>
      <c r="H22" s="186" t="str">
        <f>H21</f>
        <v>12.6 EER
17 IEER</v>
      </c>
      <c r="I22" s="188" t="s">
        <v>236</v>
      </c>
      <c r="J22" s="224">
        <v>0.55000000000000004</v>
      </c>
      <c r="K22" s="224">
        <v>0.7</v>
      </c>
    </row>
    <row r="23" spans="2:16" ht="36" customHeight="1" x14ac:dyDescent="0.2">
      <c r="C23" s="1173"/>
      <c r="D23" s="1163"/>
      <c r="E23" s="1173" t="s">
        <v>65</v>
      </c>
      <c r="F23" s="188" t="s">
        <v>11</v>
      </c>
      <c r="G23" s="189"/>
      <c r="H23" s="186" t="s">
        <v>1407</v>
      </c>
      <c r="I23" s="188" t="s">
        <v>237</v>
      </c>
      <c r="J23" s="224">
        <v>0.55000000000000004</v>
      </c>
      <c r="K23" s="224">
        <v>0.7</v>
      </c>
    </row>
    <row r="24" spans="2:16" ht="36" customHeight="1" x14ac:dyDescent="0.2">
      <c r="C24" s="1173"/>
      <c r="D24" s="1163"/>
      <c r="E24" s="1173"/>
      <c r="F24" s="188" t="s">
        <v>71</v>
      </c>
      <c r="G24" s="189"/>
      <c r="H24" s="186" t="str">
        <f>H23</f>
        <v>12.3 EER
16.5 IEER</v>
      </c>
      <c r="I24" s="188" t="s">
        <v>238</v>
      </c>
      <c r="J24" s="224">
        <v>0.55000000000000004</v>
      </c>
      <c r="K24" s="224">
        <v>0.7</v>
      </c>
    </row>
    <row r="25" spans="2:16" ht="36" customHeight="1" x14ac:dyDescent="0.2">
      <c r="C25" s="1173"/>
      <c r="D25" s="1163"/>
      <c r="E25" s="1173" t="s">
        <v>66</v>
      </c>
      <c r="F25" s="188" t="s">
        <v>11</v>
      </c>
      <c r="G25" s="189"/>
      <c r="H25" s="186" t="s">
        <v>1408</v>
      </c>
      <c r="I25" s="188" t="s">
        <v>239</v>
      </c>
      <c r="J25" s="224">
        <v>0.55000000000000004</v>
      </c>
      <c r="K25" s="224">
        <v>0.7</v>
      </c>
      <c r="L25" s="193"/>
    </row>
    <row r="26" spans="2:16" ht="36" customHeight="1" x14ac:dyDescent="0.25">
      <c r="C26" s="1173"/>
      <c r="D26" s="1164"/>
      <c r="E26" s="1173"/>
      <c r="F26" s="188" t="s">
        <v>71</v>
      </c>
      <c r="G26" s="189"/>
      <c r="H26" s="186" t="str">
        <f>H25</f>
        <v>11.5 EER
16 IEER</v>
      </c>
      <c r="I26" s="188" t="s">
        <v>240</v>
      </c>
      <c r="J26" s="224">
        <v>0.55000000000000004</v>
      </c>
      <c r="K26" s="224">
        <v>0.7</v>
      </c>
      <c r="L26" s="192"/>
    </row>
    <row r="27" spans="2:16" s="194" customFormat="1" ht="56.25" customHeight="1" x14ac:dyDescent="0.25">
      <c r="C27" s="1173" t="s">
        <v>122</v>
      </c>
      <c r="D27" s="1162"/>
      <c r="E27" s="1173" t="s">
        <v>14</v>
      </c>
      <c r="F27" s="188" t="s">
        <v>11</v>
      </c>
      <c r="G27" s="195"/>
      <c r="H27" s="186" t="s">
        <v>80</v>
      </c>
      <c r="I27" s="186" t="s">
        <v>243</v>
      </c>
      <c r="J27" s="224">
        <v>0.55000000000000004</v>
      </c>
      <c r="K27" s="224">
        <v>0.7</v>
      </c>
    </row>
    <row r="28" spans="2:16" s="6" customFormat="1" ht="56.25" customHeight="1" x14ac:dyDescent="0.2">
      <c r="B28" s="192"/>
      <c r="C28" s="1173"/>
      <c r="D28" s="1164"/>
      <c r="E28" s="1173"/>
      <c r="F28" s="188" t="s">
        <v>71</v>
      </c>
      <c r="G28" s="195"/>
      <c r="H28" s="186" t="s">
        <v>80</v>
      </c>
      <c r="I28" s="186" t="s">
        <v>244</v>
      </c>
      <c r="J28" s="224">
        <v>0.55000000000000004</v>
      </c>
      <c r="K28" s="224">
        <v>0.7</v>
      </c>
    </row>
    <row r="29" spans="2:16" s="6" customFormat="1" ht="25.5" customHeight="1" x14ac:dyDescent="0.2">
      <c r="B29" s="192"/>
      <c r="C29" s="185" t="s">
        <v>1420</v>
      </c>
      <c r="D29" s="196"/>
      <c r="E29" s="196"/>
      <c r="F29" s="196"/>
      <c r="G29" s="196"/>
      <c r="H29" s="196"/>
      <c r="I29" s="196"/>
      <c r="J29" s="196"/>
    </row>
    <row r="30" spans="2:16" s="6" customFormat="1" ht="25.5" customHeight="1" x14ac:dyDescent="0.2">
      <c r="B30" s="192"/>
      <c r="C30" s="197"/>
      <c r="D30" s="197"/>
      <c r="E30" s="198"/>
      <c r="F30" s="198"/>
      <c r="G30" s="198"/>
      <c r="H30" s="198"/>
      <c r="I30" s="198"/>
      <c r="J30" s="198"/>
    </row>
    <row r="31" spans="2:16" s="181" customFormat="1" ht="53.25" customHeight="1" x14ac:dyDescent="0.25">
      <c r="C31" s="1191" t="s">
        <v>442</v>
      </c>
      <c r="D31" s="1192"/>
      <c r="E31" s="1192"/>
      <c r="F31" s="1193"/>
      <c r="G31" s="332"/>
      <c r="H31" s="1187" t="s">
        <v>806</v>
      </c>
      <c r="I31" s="1188"/>
      <c r="J31" s="1188"/>
      <c r="K31" s="1188"/>
    </row>
    <row r="32" spans="2:16" s="6" customFormat="1" ht="43.35" customHeight="1" x14ac:dyDescent="0.2">
      <c r="C32" s="183" t="s">
        <v>9</v>
      </c>
      <c r="D32" s="183" t="s">
        <v>805</v>
      </c>
      <c r="E32" s="184" t="s">
        <v>13</v>
      </c>
      <c r="F32" s="184" t="s">
        <v>10</v>
      </c>
      <c r="G32" s="200"/>
      <c r="H32" s="183" t="s">
        <v>118</v>
      </c>
      <c r="I32" s="183" t="s">
        <v>158</v>
      </c>
      <c r="J32" s="280" t="s">
        <v>838</v>
      </c>
      <c r="K32" s="280" t="s">
        <v>1892</v>
      </c>
    </row>
    <row r="33" spans="3:11" s="6" customFormat="1" ht="41.25" customHeight="1" x14ac:dyDescent="0.2">
      <c r="C33" s="1162" t="s">
        <v>455</v>
      </c>
      <c r="D33" s="222"/>
      <c r="E33" s="190" t="s">
        <v>443</v>
      </c>
      <c r="F33" s="186" t="s">
        <v>119</v>
      </c>
      <c r="G33" s="201"/>
      <c r="H33" s="186" t="s">
        <v>456</v>
      </c>
      <c r="I33" s="186" t="s">
        <v>457</v>
      </c>
      <c r="J33" s="1168">
        <v>600</v>
      </c>
      <c r="K33" s="1168">
        <v>750</v>
      </c>
    </row>
    <row r="34" spans="3:11" s="6" customFormat="1" ht="41.25" customHeight="1" x14ac:dyDescent="0.2">
      <c r="C34" s="1163"/>
      <c r="D34" s="222"/>
      <c r="E34" s="191" t="s">
        <v>458</v>
      </c>
      <c r="F34" s="186" t="s">
        <v>119</v>
      </c>
      <c r="G34" s="201"/>
      <c r="H34" s="186" t="s">
        <v>459</v>
      </c>
      <c r="I34" s="186" t="s">
        <v>460</v>
      </c>
      <c r="J34" s="1169"/>
      <c r="K34" s="1169"/>
    </row>
    <row r="35" spans="3:11" s="6" customFormat="1" ht="41.25" customHeight="1" x14ac:dyDescent="0.2">
      <c r="C35" s="1164"/>
      <c r="D35" s="191"/>
      <c r="E35" s="190" t="s">
        <v>461</v>
      </c>
      <c r="F35" s="186" t="s">
        <v>119</v>
      </c>
      <c r="G35" s="201"/>
      <c r="H35" s="186" t="s">
        <v>462</v>
      </c>
      <c r="I35" s="186" t="s">
        <v>463</v>
      </c>
      <c r="J35" s="1170"/>
      <c r="K35" s="1170"/>
    </row>
    <row r="36" spans="3:11" s="6" customFormat="1" ht="152.25" hidden="1" customHeight="1" x14ac:dyDescent="0.2">
      <c r="C36" s="186" t="s">
        <v>282</v>
      </c>
      <c r="D36" s="186"/>
      <c r="E36" s="186" t="s">
        <v>62</v>
      </c>
      <c r="F36" s="188" t="s">
        <v>119</v>
      </c>
      <c r="G36" s="189"/>
      <c r="H36" s="186" t="s">
        <v>464</v>
      </c>
      <c r="I36" s="186" t="s">
        <v>213</v>
      </c>
      <c r="J36" s="224">
        <v>2</v>
      </c>
    </row>
    <row r="37" spans="3:11" s="6" customFormat="1" ht="50.1" hidden="1" customHeight="1" x14ac:dyDescent="0.2">
      <c r="C37" s="1173" t="s">
        <v>67</v>
      </c>
      <c r="D37" s="1162"/>
      <c r="E37" s="1173" t="s">
        <v>62</v>
      </c>
      <c r="F37" s="188" t="s">
        <v>11</v>
      </c>
      <c r="G37" s="203"/>
      <c r="H37" s="202" t="s">
        <v>464</v>
      </c>
      <c r="I37" s="186" t="s">
        <v>255</v>
      </c>
      <c r="J37" s="224">
        <v>2</v>
      </c>
    </row>
    <row r="38" spans="3:11" s="6" customFormat="1" ht="48.95" hidden="1" customHeight="1" x14ac:dyDescent="0.2">
      <c r="C38" s="1173"/>
      <c r="D38" s="1163"/>
      <c r="E38" s="1158"/>
      <c r="F38" s="188" t="s">
        <v>71</v>
      </c>
      <c r="G38" s="203"/>
      <c r="H38" s="202" t="s">
        <v>465</v>
      </c>
      <c r="I38" s="186" t="s">
        <v>256</v>
      </c>
      <c r="J38" s="224">
        <v>2</v>
      </c>
    </row>
    <row r="39" spans="3:11" s="6" customFormat="1" ht="48.95" hidden="1" customHeight="1" x14ac:dyDescent="0.2">
      <c r="C39" s="1173"/>
      <c r="D39" s="1163"/>
      <c r="E39" s="1173" t="s">
        <v>273</v>
      </c>
      <c r="F39" s="188" t="s">
        <v>11</v>
      </c>
      <c r="G39" s="203"/>
      <c r="H39" s="202" t="s">
        <v>1409</v>
      </c>
      <c r="I39" s="186" t="s">
        <v>257</v>
      </c>
      <c r="J39" s="224">
        <v>2</v>
      </c>
    </row>
    <row r="40" spans="3:11" s="6" customFormat="1" ht="48.95" hidden="1" customHeight="1" x14ac:dyDescent="0.2">
      <c r="C40" s="1173"/>
      <c r="D40" s="1163"/>
      <c r="E40" s="1173"/>
      <c r="F40" s="188" t="s">
        <v>71</v>
      </c>
      <c r="G40" s="203"/>
      <c r="H40" s="202" t="s">
        <v>1409</v>
      </c>
      <c r="I40" s="186" t="s">
        <v>258</v>
      </c>
      <c r="J40" s="224">
        <v>2</v>
      </c>
    </row>
    <row r="41" spans="3:11" s="6" customFormat="1" ht="48.95" hidden="1" customHeight="1" x14ac:dyDescent="0.2">
      <c r="C41" s="1173"/>
      <c r="D41" s="1163"/>
      <c r="E41" s="1173" t="s">
        <v>65</v>
      </c>
      <c r="F41" s="188" t="s">
        <v>11</v>
      </c>
      <c r="G41" s="203"/>
      <c r="H41" s="202" t="s">
        <v>1410</v>
      </c>
      <c r="I41" s="186" t="s">
        <v>259</v>
      </c>
      <c r="J41" s="224">
        <v>2</v>
      </c>
    </row>
    <row r="42" spans="3:11" s="6" customFormat="1" ht="48.95" hidden="1" customHeight="1" x14ac:dyDescent="0.2">
      <c r="C42" s="1173"/>
      <c r="D42" s="1163"/>
      <c r="E42" s="1173"/>
      <c r="F42" s="188" t="s">
        <v>71</v>
      </c>
      <c r="G42" s="203"/>
      <c r="H42" s="202" t="s">
        <v>1410</v>
      </c>
      <c r="I42" s="186" t="s">
        <v>260</v>
      </c>
      <c r="J42" s="224">
        <v>2</v>
      </c>
    </row>
    <row r="43" spans="3:11" s="6" customFormat="1" ht="48.95" hidden="1" customHeight="1" x14ac:dyDescent="0.2">
      <c r="C43" s="1173"/>
      <c r="D43" s="1163"/>
      <c r="E43" s="1173" t="s">
        <v>66</v>
      </c>
      <c r="F43" s="188" t="s">
        <v>11</v>
      </c>
      <c r="G43" s="203"/>
      <c r="H43" s="202" t="s">
        <v>1411</v>
      </c>
      <c r="I43" s="186" t="s">
        <v>261</v>
      </c>
      <c r="J43" s="224">
        <v>2</v>
      </c>
    </row>
    <row r="44" spans="3:11" s="6" customFormat="1" ht="48.95" hidden="1" customHeight="1" x14ac:dyDescent="0.2">
      <c r="C44" s="1173"/>
      <c r="D44" s="1164"/>
      <c r="E44" s="1173"/>
      <c r="F44" s="188" t="s">
        <v>71</v>
      </c>
      <c r="G44" s="203"/>
      <c r="H44" s="202" t="s">
        <v>1411</v>
      </c>
      <c r="I44" s="186" t="s">
        <v>262</v>
      </c>
      <c r="J44" s="224">
        <v>2</v>
      </c>
    </row>
    <row r="45" spans="3:11" s="6" customFormat="1" ht="152.25" hidden="1" customHeight="1" x14ac:dyDescent="0.2">
      <c r="C45" s="186" t="s">
        <v>836</v>
      </c>
      <c r="D45" s="191"/>
      <c r="E45" s="186" t="s">
        <v>14</v>
      </c>
      <c r="F45" s="188" t="s">
        <v>18</v>
      </c>
      <c r="G45" s="203"/>
      <c r="H45" s="186" t="s">
        <v>882</v>
      </c>
      <c r="I45" s="186" t="s">
        <v>881</v>
      </c>
      <c r="J45" s="224">
        <v>2</v>
      </c>
    </row>
    <row r="46" spans="3:11" s="6" customFormat="1" ht="123" hidden="1" customHeight="1" x14ac:dyDescent="0.2">
      <c r="C46" s="186" t="s">
        <v>837</v>
      </c>
      <c r="D46" s="191"/>
      <c r="E46" s="186" t="s">
        <v>14</v>
      </c>
      <c r="F46" s="188" t="s">
        <v>18</v>
      </c>
      <c r="G46" s="203"/>
      <c r="H46" s="186" t="s">
        <v>883</v>
      </c>
      <c r="I46" s="186" t="s">
        <v>884</v>
      </c>
      <c r="J46" s="224">
        <v>2</v>
      </c>
    </row>
    <row r="47" spans="3:11" s="6" customFormat="1" ht="45.6" hidden="1" customHeight="1" x14ac:dyDescent="0.2">
      <c r="C47" s="186" t="s">
        <v>69</v>
      </c>
      <c r="D47" s="186"/>
      <c r="E47" s="186" t="s">
        <v>68</v>
      </c>
      <c r="F47" s="188" t="s">
        <v>18</v>
      </c>
      <c r="G47" s="203"/>
      <c r="H47" s="202" t="s">
        <v>74</v>
      </c>
      <c r="I47" s="186" t="s">
        <v>214</v>
      </c>
      <c r="J47" s="224">
        <v>2</v>
      </c>
    </row>
    <row r="48" spans="3:11" s="6" customFormat="1" ht="16.5" hidden="1" x14ac:dyDescent="0.2">
      <c r="C48" s="185" t="s">
        <v>1428</v>
      </c>
      <c r="D48" s="276"/>
      <c r="E48" s="276"/>
      <c r="F48" s="352"/>
      <c r="G48" s="201"/>
      <c r="H48" s="353"/>
      <c r="I48" s="276"/>
      <c r="J48" s="354"/>
    </row>
    <row r="49" spans="3:12" s="6" customFormat="1" ht="18" customHeight="1" x14ac:dyDescent="0.2">
      <c r="C49" s="185" t="s">
        <v>1420</v>
      </c>
      <c r="D49" s="196"/>
      <c r="E49" s="196"/>
      <c r="F49" s="196"/>
      <c r="G49" s="196"/>
      <c r="H49" s="196"/>
      <c r="I49" s="196"/>
      <c r="J49" s="196"/>
    </row>
    <row r="50" spans="3:12" s="6" customFormat="1" ht="28.5" customHeight="1" x14ac:dyDescent="0.2">
      <c r="D50" s="194"/>
      <c r="E50" s="192"/>
      <c r="F50" s="192"/>
      <c r="G50" s="192"/>
      <c r="H50" s="192"/>
      <c r="I50" s="192"/>
      <c r="J50" s="192"/>
    </row>
    <row r="51" spans="3:12" s="204" customFormat="1" ht="53.1" hidden="1" customHeight="1" x14ac:dyDescent="0.2">
      <c r="C51" s="1179" t="s">
        <v>414</v>
      </c>
      <c r="D51" s="1180"/>
      <c r="E51" s="1180"/>
      <c r="F51" s="1181"/>
      <c r="G51" s="199"/>
      <c r="H51" s="1179" t="s">
        <v>806</v>
      </c>
      <c r="I51" s="1180"/>
      <c r="J51" s="1180"/>
      <c r="K51" s="233"/>
    </row>
    <row r="52" spans="3:12" s="204" customFormat="1" ht="53.1" hidden="1" customHeight="1" x14ac:dyDescent="0.2">
      <c r="C52" s="183" t="s">
        <v>9</v>
      </c>
      <c r="D52" s="183" t="s">
        <v>804</v>
      </c>
      <c r="E52" s="184" t="s">
        <v>13</v>
      </c>
      <c r="F52" s="184" t="s">
        <v>10</v>
      </c>
      <c r="G52" s="200"/>
      <c r="H52" s="183" t="s">
        <v>118</v>
      </c>
      <c r="I52" s="183" t="s">
        <v>158</v>
      </c>
      <c r="J52" s="183" t="s">
        <v>802</v>
      </c>
    </row>
    <row r="53" spans="3:12" ht="24.95" hidden="1" customHeight="1" x14ac:dyDescent="0.2">
      <c r="C53" s="1162" t="s">
        <v>419</v>
      </c>
      <c r="D53" s="221"/>
      <c r="E53" s="1162" t="s">
        <v>62</v>
      </c>
      <c r="F53" s="1182" t="s">
        <v>413</v>
      </c>
      <c r="G53" s="189"/>
      <c r="H53" s="1162" t="s">
        <v>464</v>
      </c>
      <c r="I53" s="1183" t="s">
        <v>421</v>
      </c>
      <c r="J53" s="1185">
        <v>0.55000000000000004</v>
      </c>
      <c r="L53" s="192"/>
    </row>
    <row r="54" spans="3:12" ht="24.95" hidden="1" customHeight="1" x14ac:dyDescent="0.25">
      <c r="C54" s="1163"/>
      <c r="D54" s="222"/>
      <c r="E54" s="1164"/>
      <c r="F54" s="1161"/>
      <c r="G54" s="189"/>
      <c r="H54" s="1164"/>
      <c r="I54" s="1184"/>
      <c r="J54" s="1186"/>
      <c r="K54" s="192"/>
      <c r="L54" s="192"/>
    </row>
    <row r="55" spans="3:12" ht="49.5" hidden="1" x14ac:dyDescent="0.25">
      <c r="C55" s="1163"/>
      <c r="D55" s="222"/>
      <c r="E55" s="205" t="s">
        <v>70</v>
      </c>
      <c r="F55" s="188" t="s">
        <v>413</v>
      </c>
      <c r="G55" s="189"/>
      <c r="H55" s="186" t="s">
        <v>1042</v>
      </c>
      <c r="I55" s="188" t="s">
        <v>422</v>
      </c>
      <c r="J55" s="1185">
        <v>0.55000000000000004</v>
      </c>
      <c r="K55" s="192"/>
      <c r="L55" s="192"/>
    </row>
    <row r="56" spans="3:12" ht="49.5" hidden="1" x14ac:dyDescent="0.25">
      <c r="C56" s="1163"/>
      <c r="D56" s="222"/>
      <c r="E56" s="205" t="s">
        <v>65</v>
      </c>
      <c r="F56" s="188" t="s">
        <v>413</v>
      </c>
      <c r="G56" s="189"/>
      <c r="H56" s="186" t="s">
        <v>1043</v>
      </c>
      <c r="I56" s="188" t="s">
        <v>423</v>
      </c>
      <c r="J56" s="1186"/>
      <c r="K56" s="192"/>
      <c r="L56" s="192"/>
    </row>
    <row r="57" spans="3:12" ht="49.5" hidden="1" x14ac:dyDescent="0.25">
      <c r="C57" s="1164"/>
      <c r="D57" s="191"/>
      <c r="E57" s="205" t="s">
        <v>412</v>
      </c>
      <c r="F57" s="188" t="s">
        <v>413</v>
      </c>
      <c r="G57" s="189"/>
      <c r="H57" s="186" t="s">
        <v>1044</v>
      </c>
      <c r="I57" s="188" t="s">
        <v>424</v>
      </c>
      <c r="J57" s="1185">
        <v>0.55000000000000004</v>
      </c>
      <c r="K57" s="192"/>
      <c r="L57" s="192"/>
    </row>
    <row r="58" spans="3:12" ht="39" hidden="1" customHeight="1" x14ac:dyDescent="0.2">
      <c r="C58" s="206" t="s">
        <v>420</v>
      </c>
      <c r="D58" s="206"/>
      <c r="E58" s="205" t="s">
        <v>68</v>
      </c>
      <c r="F58" s="186" t="s">
        <v>418</v>
      </c>
      <c r="H58" s="186" t="s">
        <v>74</v>
      </c>
      <c r="I58" s="188" t="s">
        <v>425</v>
      </c>
      <c r="J58" s="1186"/>
    </row>
    <row r="59" spans="3:12" ht="15" hidden="1" customHeight="1" x14ac:dyDescent="0.2">
      <c r="C59" s="206" t="s">
        <v>415</v>
      </c>
      <c r="D59" s="206"/>
      <c r="E59" s="205" t="s">
        <v>68</v>
      </c>
      <c r="F59" s="186" t="s">
        <v>416</v>
      </c>
      <c r="H59" s="186" t="s">
        <v>417</v>
      </c>
      <c r="I59" s="207"/>
      <c r="J59" s="208">
        <v>80</v>
      </c>
    </row>
    <row r="60" spans="3:12" ht="21" hidden="1" customHeight="1" x14ac:dyDescent="0.2">
      <c r="C60" s="200" t="s">
        <v>1069</v>
      </c>
      <c r="D60" s="275"/>
      <c r="E60" s="275"/>
      <c r="F60" s="276"/>
      <c r="H60" s="276"/>
      <c r="J60" s="277"/>
    </row>
    <row r="61" spans="3:12" ht="21" hidden="1" customHeight="1" x14ac:dyDescent="0.2">
      <c r="C61" s="200" t="s">
        <v>1077</v>
      </c>
      <c r="D61" s="275"/>
      <c r="E61" s="275"/>
      <c r="F61" s="276"/>
      <c r="H61" s="276"/>
      <c r="J61" s="277"/>
    </row>
    <row r="62" spans="3:12" ht="15" customHeight="1" x14ac:dyDescent="0.2"/>
    <row r="63" spans="3:12" ht="42.75" customHeight="1" x14ac:dyDescent="0.25">
      <c r="C63" s="1190" t="s">
        <v>1458</v>
      </c>
      <c r="D63" s="1190"/>
      <c r="E63" s="1190"/>
      <c r="F63" s="1190"/>
      <c r="G63" s="199"/>
      <c r="H63" s="1086" t="s">
        <v>870</v>
      </c>
      <c r="I63" s="1087"/>
      <c r="J63" s="1087"/>
      <c r="K63" s="1087"/>
      <c r="L63"/>
    </row>
    <row r="64" spans="3:12" ht="45" customHeight="1" x14ac:dyDescent="0.25">
      <c r="C64" s="183" t="s">
        <v>9</v>
      </c>
      <c r="D64" s="183" t="s">
        <v>1049</v>
      </c>
      <c r="E64" s="184" t="s">
        <v>13</v>
      </c>
      <c r="F64" s="184" t="s">
        <v>867</v>
      </c>
      <c r="G64" s="200"/>
      <c r="H64" s="280" t="s">
        <v>118</v>
      </c>
      <c r="I64" s="280" t="s">
        <v>158</v>
      </c>
      <c r="J64" s="280" t="s">
        <v>838</v>
      </c>
      <c r="K64" s="280" t="s">
        <v>1893</v>
      </c>
      <c r="L64"/>
    </row>
    <row r="65" spans="2:16" ht="88.5" customHeight="1" x14ac:dyDescent="0.25">
      <c r="C65" s="1162" t="s">
        <v>836</v>
      </c>
      <c r="D65" s="1202" t="s">
        <v>1455</v>
      </c>
      <c r="E65" s="1182" t="s">
        <v>14</v>
      </c>
      <c r="F65" s="186" t="s">
        <v>868</v>
      </c>
      <c r="G65" s="201"/>
      <c r="H65" s="1162" t="s">
        <v>1429</v>
      </c>
      <c r="I65" s="186" t="s">
        <v>871</v>
      </c>
      <c r="J65" s="1165">
        <v>600</v>
      </c>
      <c r="K65" s="1165">
        <v>750</v>
      </c>
      <c r="L65"/>
    </row>
    <row r="66" spans="2:16" ht="88.5" customHeight="1" x14ac:dyDescent="0.25">
      <c r="C66" s="1163"/>
      <c r="D66" s="1203"/>
      <c r="E66" s="1201"/>
      <c r="F66" s="186" t="s">
        <v>1276</v>
      </c>
      <c r="G66" s="201"/>
      <c r="H66" s="1163"/>
      <c r="I66" s="186" t="s">
        <v>872</v>
      </c>
      <c r="J66" s="1166"/>
      <c r="K66" s="1166"/>
      <c r="L66"/>
    </row>
    <row r="67" spans="2:16" ht="62.45" customHeight="1" x14ac:dyDescent="0.25">
      <c r="C67" s="1164"/>
      <c r="D67" s="1204"/>
      <c r="E67" s="1161"/>
      <c r="F67" s="186" t="s">
        <v>869</v>
      </c>
      <c r="G67" s="201"/>
      <c r="H67" s="1164"/>
      <c r="I67" s="186" t="s">
        <v>873</v>
      </c>
      <c r="J67" s="1167"/>
      <c r="K67" s="1167"/>
      <c r="L67"/>
    </row>
    <row r="68" spans="2:16" ht="88.5" customHeight="1" x14ac:dyDescent="0.25">
      <c r="C68" s="1162" t="s">
        <v>1098</v>
      </c>
      <c r="D68" s="1202" t="s">
        <v>1456</v>
      </c>
      <c r="E68" s="1182" t="s">
        <v>14</v>
      </c>
      <c r="F68" s="186" t="s">
        <v>868</v>
      </c>
      <c r="G68" s="201"/>
      <c r="H68" s="1162" t="s">
        <v>1429</v>
      </c>
      <c r="I68" s="186" t="s">
        <v>1099</v>
      </c>
      <c r="J68" s="1165">
        <v>600</v>
      </c>
      <c r="K68" s="1165">
        <v>750</v>
      </c>
      <c r="L68"/>
    </row>
    <row r="69" spans="2:16" ht="88.5" customHeight="1" x14ac:dyDescent="0.25">
      <c r="C69" s="1163"/>
      <c r="D69" s="1203"/>
      <c r="E69" s="1201"/>
      <c r="F69" s="186" t="s">
        <v>1276</v>
      </c>
      <c r="G69" s="201"/>
      <c r="H69" s="1163"/>
      <c r="I69" s="186" t="s">
        <v>1100</v>
      </c>
      <c r="J69" s="1166"/>
      <c r="K69" s="1166"/>
      <c r="L69"/>
    </row>
    <row r="70" spans="2:16" ht="62.45" customHeight="1" x14ac:dyDescent="0.25">
      <c r="C70" s="1164"/>
      <c r="D70" s="1204"/>
      <c r="E70" s="1161"/>
      <c r="F70" s="186" t="s">
        <v>869</v>
      </c>
      <c r="G70" s="201"/>
      <c r="H70" s="1164"/>
      <c r="I70" s="186" t="s">
        <v>1101</v>
      </c>
      <c r="J70" s="1167"/>
      <c r="K70" s="1167"/>
      <c r="L70"/>
    </row>
    <row r="71" spans="2:16" ht="71.099999999999994" customHeight="1" x14ac:dyDescent="0.25">
      <c r="C71" s="1162" t="s">
        <v>837</v>
      </c>
      <c r="D71" s="1202" t="s">
        <v>1457</v>
      </c>
      <c r="E71" s="1162" t="s">
        <v>14</v>
      </c>
      <c r="F71" s="186" t="s">
        <v>868</v>
      </c>
      <c r="G71" s="201"/>
      <c r="H71" s="1162" t="s">
        <v>1429</v>
      </c>
      <c r="I71" s="186" t="s">
        <v>874</v>
      </c>
      <c r="J71" s="1165">
        <v>600</v>
      </c>
      <c r="K71" s="1165">
        <v>750</v>
      </c>
      <c r="L71"/>
    </row>
    <row r="72" spans="2:16" ht="71.099999999999994" customHeight="1" x14ac:dyDescent="0.25">
      <c r="C72" s="1163"/>
      <c r="D72" s="1203"/>
      <c r="E72" s="1163"/>
      <c r="F72" s="186" t="s">
        <v>1276</v>
      </c>
      <c r="G72" s="201"/>
      <c r="H72" s="1163"/>
      <c r="I72" s="186" t="s">
        <v>875</v>
      </c>
      <c r="J72" s="1166"/>
      <c r="K72" s="1166"/>
      <c r="L72"/>
    </row>
    <row r="73" spans="2:16" ht="57.95" customHeight="1" x14ac:dyDescent="0.25">
      <c r="C73" s="1164"/>
      <c r="D73" s="1204"/>
      <c r="E73" s="1164"/>
      <c r="F73" s="186" t="s">
        <v>869</v>
      </c>
      <c r="G73" s="201"/>
      <c r="H73" s="1164"/>
      <c r="I73" s="186" t="s">
        <v>876</v>
      </c>
      <c r="J73" s="1167"/>
      <c r="K73" s="1167"/>
      <c r="L73"/>
    </row>
    <row r="74" spans="2:16" ht="97.5" customHeight="1" x14ac:dyDescent="0.25">
      <c r="C74" s="186" t="s">
        <v>1047</v>
      </c>
      <c r="D74" s="283" t="s">
        <v>1082</v>
      </c>
      <c r="E74" s="186" t="s">
        <v>18</v>
      </c>
      <c r="F74" s="186" t="s">
        <v>18</v>
      </c>
      <c r="G74" s="187"/>
      <c r="H74" s="188" t="s">
        <v>18</v>
      </c>
      <c r="I74" s="186" t="s">
        <v>1079</v>
      </c>
      <c r="J74" s="1171" t="s">
        <v>960</v>
      </c>
      <c r="K74" s="1172"/>
      <c r="L74"/>
    </row>
    <row r="75" spans="2:16" ht="117.95" customHeight="1" x14ac:dyDescent="0.25">
      <c r="C75" s="186" t="s">
        <v>1078</v>
      </c>
      <c r="D75" s="283" t="s">
        <v>1083</v>
      </c>
      <c r="E75" s="191" t="s">
        <v>18</v>
      </c>
      <c r="F75" s="186" t="s">
        <v>18</v>
      </c>
      <c r="G75" s="187"/>
      <c r="H75" s="188" t="s">
        <v>18</v>
      </c>
      <c r="I75" s="186" t="s">
        <v>1080</v>
      </c>
      <c r="J75" s="1171" t="s">
        <v>960</v>
      </c>
      <c r="K75" s="1172"/>
      <c r="L75"/>
    </row>
    <row r="76" spans="2:16" ht="101.1" customHeight="1" x14ac:dyDescent="0.25">
      <c r="C76" s="186" t="s">
        <v>830</v>
      </c>
      <c r="D76" s="283" t="s">
        <v>1084</v>
      </c>
      <c r="E76" s="191" t="s">
        <v>18</v>
      </c>
      <c r="F76" s="186" t="s">
        <v>18</v>
      </c>
      <c r="G76" s="187"/>
      <c r="H76" s="188" t="s">
        <v>18</v>
      </c>
      <c r="I76" s="186" t="s">
        <v>1081</v>
      </c>
      <c r="J76" s="1171" t="s">
        <v>960</v>
      </c>
      <c r="K76" s="1172"/>
      <c r="L76"/>
    </row>
    <row r="77" spans="2:16" s="360" customFormat="1" ht="16.5" x14ac:dyDescent="0.3">
      <c r="B77" s="358"/>
      <c r="C77" s="358"/>
      <c r="D77" s="359"/>
      <c r="E77" s="359"/>
      <c r="F77" s="359"/>
      <c r="G77" s="359"/>
      <c r="H77" s="359"/>
      <c r="I77" s="359"/>
    </row>
    <row r="78" spans="2:16" s="143" customFormat="1" ht="30" customHeight="1" x14ac:dyDescent="0.3">
      <c r="B78" s="359"/>
      <c r="C78" s="1205" t="s">
        <v>1475</v>
      </c>
      <c r="D78" s="1205"/>
      <c r="E78" s="1205"/>
      <c r="F78" s="1205"/>
      <c r="G78" s="1205"/>
      <c r="H78" s="1205"/>
      <c r="I78" s="1205"/>
      <c r="J78" s="1205"/>
      <c r="K78" s="1205"/>
      <c r="L78" s="361"/>
      <c r="M78" s="361"/>
      <c r="N78" s="361"/>
      <c r="O78" s="361"/>
      <c r="P78" s="109"/>
    </row>
    <row r="79" spans="2:16" ht="18.95" customHeight="1" x14ac:dyDescent="0.25">
      <c r="C79" s="1206" t="s">
        <v>1474</v>
      </c>
      <c r="D79" s="1206"/>
      <c r="E79" s="1206"/>
      <c r="F79" s="1206"/>
      <c r="G79" s="1206"/>
      <c r="H79" s="1206"/>
      <c r="I79" s="1206"/>
      <c r="J79" s="1206"/>
      <c r="K79" s="1206"/>
      <c r="L79" s="275"/>
    </row>
    <row r="80" spans="2:16" ht="18" customHeight="1" x14ac:dyDescent="0.2">
      <c r="C80" s="278" t="s">
        <v>1476</v>
      </c>
    </row>
    <row r="81" spans="3:12" ht="18" customHeight="1" x14ac:dyDescent="0.2">
      <c r="C81" s="278" t="s">
        <v>1459</v>
      </c>
    </row>
    <row r="82" spans="3:12" ht="18" customHeight="1" x14ac:dyDescent="0.2">
      <c r="C82" s="278"/>
    </row>
    <row r="83" spans="3:12" ht="37.5" customHeight="1" x14ac:dyDescent="0.25">
      <c r="C83" s="1190" t="s">
        <v>1155</v>
      </c>
      <c r="D83" s="1190"/>
      <c r="E83" s="1190"/>
      <c r="F83" s="1190"/>
      <c r="G83" s="312"/>
      <c r="H83" s="1187" t="s">
        <v>806</v>
      </c>
      <c r="I83" s="1188"/>
      <c r="J83" s="1188"/>
      <c r="K83" s="1188"/>
      <c r="L83" s="314"/>
    </row>
    <row r="84" spans="3:12" ht="34.5" customHeight="1" x14ac:dyDescent="0.2">
      <c r="C84" s="183" t="s">
        <v>9</v>
      </c>
      <c r="D84" s="183" t="s">
        <v>1049</v>
      </c>
      <c r="E84" s="184" t="s">
        <v>13</v>
      </c>
      <c r="F84" s="184" t="s">
        <v>867</v>
      </c>
      <c r="G84" s="313"/>
      <c r="H84" s="183" t="s">
        <v>118</v>
      </c>
      <c r="I84" s="183" t="s">
        <v>158</v>
      </c>
      <c r="J84" s="183" t="s">
        <v>19</v>
      </c>
      <c r="K84" s="183" t="s">
        <v>1894</v>
      </c>
      <c r="L84" s="315"/>
    </row>
    <row r="85" spans="3:12" ht="50.1" customHeight="1" x14ac:dyDescent="0.2">
      <c r="C85" s="1173" t="s">
        <v>1156</v>
      </c>
      <c r="D85" s="292" t="s">
        <v>1203</v>
      </c>
      <c r="E85" s="1158" t="s">
        <v>14</v>
      </c>
      <c r="F85" s="1173" t="s">
        <v>1157</v>
      </c>
      <c r="G85" s="312"/>
      <c r="H85" s="1158" t="s">
        <v>18</v>
      </c>
      <c r="I85" s="1158" t="s">
        <v>1229</v>
      </c>
      <c r="J85" s="1158" t="s">
        <v>1158</v>
      </c>
      <c r="K85" s="1158" t="s">
        <v>1895</v>
      </c>
      <c r="L85" s="315"/>
    </row>
    <row r="86" spans="3:12" ht="75.95" customHeight="1" x14ac:dyDescent="0.2">
      <c r="C86" s="1173"/>
      <c r="D86" s="1207"/>
      <c r="E86" s="1158"/>
      <c r="F86" s="1173"/>
      <c r="G86" s="312"/>
      <c r="H86" s="1158"/>
      <c r="I86" s="1158"/>
      <c r="J86" s="1158"/>
      <c r="K86" s="1158"/>
      <c r="L86" s="315"/>
    </row>
    <row r="87" spans="3:12" ht="18" customHeight="1" x14ac:dyDescent="0.2">
      <c r="C87" s="1173"/>
      <c r="D87" s="1207"/>
      <c r="E87" s="1158"/>
      <c r="F87" s="1173"/>
      <c r="G87" s="312"/>
      <c r="H87" s="1158"/>
      <c r="I87" s="1158"/>
      <c r="J87" s="1158"/>
      <c r="K87" s="1158"/>
      <c r="L87" s="315"/>
    </row>
    <row r="88" spans="3:12" ht="18" customHeight="1" x14ac:dyDescent="0.2">
      <c r="C88" s="1173"/>
      <c r="D88" s="1207"/>
      <c r="E88" s="1158"/>
      <c r="F88" s="1173"/>
      <c r="G88" s="312"/>
      <c r="H88" s="1158"/>
      <c r="I88" s="1158"/>
      <c r="J88" s="1158"/>
      <c r="K88" s="1158"/>
      <c r="L88" s="315"/>
    </row>
    <row r="89" spans="3:12" ht="18" customHeight="1" x14ac:dyDescent="0.2">
      <c r="C89" s="1173"/>
      <c r="D89" s="1207"/>
      <c r="E89" s="1158"/>
      <c r="F89" s="1173"/>
      <c r="G89" s="312"/>
      <c r="H89" s="1158"/>
      <c r="I89" s="1158"/>
      <c r="J89" s="1158"/>
      <c r="K89" s="1158"/>
      <c r="L89" s="315"/>
    </row>
    <row r="90" spans="3:12" ht="18" customHeight="1" x14ac:dyDescent="0.2">
      <c r="C90" s="1173"/>
      <c r="D90" s="1207"/>
      <c r="E90" s="1158"/>
      <c r="F90" s="1173"/>
      <c r="G90" s="312"/>
      <c r="H90" s="1158"/>
      <c r="I90" s="1158"/>
      <c r="J90" s="1158"/>
      <c r="K90" s="1158"/>
      <c r="L90" s="315"/>
    </row>
    <row r="91" spans="3:12" ht="36.950000000000003" customHeight="1" x14ac:dyDescent="0.2">
      <c r="C91" s="1173" t="s">
        <v>1178</v>
      </c>
      <c r="D91" s="292" t="s">
        <v>1202</v>
      </c>
      <c r="E91" s="1158" t="s">
        <v>14</v>
      </c>
      <c r="F91" s="1173" t="s">
        <v>1157</v>
      </c>
      <c r="G91" s="312"/>
      <c r="H91" s="1158" t="s">
        <v>18</v>
      </c>
      <c r="I91" s="1158" t="s">
        <v>1230</v>
      </c>
      <c r="J91" s="1158" t="s">
        <v>1159</v>
      </c>
      <c r="K91" s="1158" t="s">
        <v>1896</v>
      </c>
      <c r="L91" s="315"/>
    </row>
    <row r="92" spans="3:12" ht="18" customHeight="1" x14ac:dyDescent="0.2">
      <c r="C92" s="1173"/>
      <c r="D92" s="1207"/>
      <c r="E92" s="1158"/>
      <c r="F92" s="1173"/>
      <c r="G92" s="312"/>
      <c r="H92" s="1158"/>
      <c r="I92" s="1158"/>
      <c r="J92" s="1158"/>
      <c r="K92" s="1158"/>
      <c r="L92" s="315"/>
    </row>
    <row r="93" spans="3:12" ht="18" customHeight="1" x14ac:dyDescent="0.2">
      <c r="C93" s="1173"/>
      <c r="D93" s="1207"/>
      <c r="E93" s="1158"/>
      <c r="F93" s="1173"/>
      <c r="G93" s="312"/>
      <c r="H93" s="1158"/>
      <c r="I93" s="1158"/>
      <c r="J93" s="1158"/>
      <c r="K93" s="1158"/>
      <c r="L93" s="315"/>
    </row>
    <row r="94" spans="3:12" ht="18" customHeight="1" x14ac:dyDescent="0.2">
      <c r="C94" s="1173"/>
      <c r="D94" s="1207"/>
      <c r="E94" s="1158"/>
      <c r="F94" s="1173"/>
      <c r="G94" s="312"/>
      <c r="H94" s="1158"/>
      <c r="I94" s="1158"/>
      <c r="J94" s="1158"/>
      <c r="K94" s="1158"/>
      <c r="L94" s="315"/>
    </row>
    <row r="95" spans="3:12" ht="18" customHeight="1" x14ac:dyDescent="0.2">
      <c r="C95" s="1173"/>
      <c r="D95" s="1207"/>
      <c r="E95" s="1158"/>
      <c r="F95" s="1173"/>
      <c r="G95" s="312"/>
      <c r="H95" s="1158"/>
      <c r="I95" s="1158"/>
      <c r="J95" s="1158"/>
      <c r="K95" s="1158"/>
      <c r="L95" s="315"/>
    </row>
    <row r="96" spans="3:12" ht="18" customHeight="1" x14ac:dyDescent="0.2">
      <c r="C96" s="1173"/>
      <c r="D96" s="1207"/>
      <c r="E96" s="1158"/>
      <c r="F96" s="1173"/>
      <c r="G96" s="312"/>
      <c r="H96" s="1158"/>
      <c r="I96" s="1158"/>
      <c r="J96" s="1158"/>
      <c r="K96" s="1158"/>
      <c r="L96" s="315"/>
    </row>
    <row r="97" spans="3:12" ht="18" customHeight="1" x14ac:dyDescent="0.2">
      <c r="C97" s="1173"/>
      <c r="D97" s="1207"/>
      <c r="E97" s="1158"/>
      <c r="F97" s="1173"/>
      <c r="G97" s="312"/>
      <c r="H97" s="1158"/>
      <c r="I97" s="1158"/>
      <c r="J97" s="1158"/>
      <c r="K97" s="1158"/>
      <c r="L97" s="315"/>
    </row>
    <row r="98" spans="3:12" ht="18" customHeight="1" x14ac:dyDescent="0.2">
      <c r="C98" s="1173"/>
      <c r="D98" s="1207"/>
      <c r="E98" s="1158"/>
      <c r="F98" s="1173"/>
      <c r="G98" s="312"/>
      <c r="H98" s="1158"/>
      <c r="I98" s="1158"/>
      <c r="J98" s="1158"/>
      <c r="K98" s="1158"/>
      <c r="L98" s="315"/>
    </row>
    <row r="99" spans="3:12" ht="18" customHeight="1" x14ac:dyDescent="0.2">
      <c r="C99" s="1173"/>
      <c r="D99" s="1207"/>
      <c r="E99" s="1158"/>
      <c r="F99" s="1173"/>
      <c r="G99" s="312"/>
      <c r="H99" s="1158"/>
      <c r="I99" s="1158"/>
      <c r="J99" s="1158"/>
      <c r="K99" s="1158"/>
      <c r="L99" s="315"/>
    </row>
    <row r="100" spans="3:12" ht="50.1" customHeight="1" x14ac:dyDescent="0.2">
      <c r="C100" s="1173" t="s">
        <v>1160</v>
      </c>
      <c r="D100" s="292" t="s">
        <v>1161</v>
      </c>
      <c r="E100" s="1158" t="s">
        <v>1162</v>
      </c>
      <c r="F100" s="1158" t="s">
        <v>1163</v>
      </c>
      <c r="G100" s="312"/>
      <c r="H100" s="1158" t="s">
        <v>18</v>
      </c>
      <c r="I100" s="1158" t="s">
        <v>1231</v>
      </c>
      <c r="J100" s="1158" t="s">
        <v>1201</v>
      </c>
      <c r="K100" s="1158" t="s">
        <v>1897</v>
      </c>
      <c r="L100" s="315"/>
    </row>
    <row r="101" spans="3:12" ht="18" customHeight="1" x14ac:dyDescent="0.2">
      <c r="C101" s="1173"/>
      <c r="D101" s="192"/>
      <c r="E101" s="1158"/>
      <c r="F101" s="1158"/>
      <c r="G101" s="312"/>
      <c r="H101" s="1158"/>
      <c r="I101" s="1158"/>
      <c r="J101" s="1158"/>
      <c r="K101" s="1158"/>
      <c r="L101" s="315"/>
    </row>
    <row r="102" spans="3:12" ht="18" customHeight="1" x14ac:dyDescent="0.2">
      <c r="C102" s="1173"/>
      <c r="D102" s="192"/>
      <c r="E102" s="1158"/>
      <c r="F102" s="1158"/>
      <c r="G102" s="312"/>
      <c r="H102" s="1158"/>
      <c r="I102" s="1158"/>
      <c r="J102" s="1158"/>
      <c r="K102" s="1158"/>
      <c r="L102" s="315"/>
    </row>
    <row r="103" spans="3:12" ht="18" customHeight="1" x14ac:dyDescent="0.2">
      <c r="C103" s="1173"/>
      <c r="D103" s="192"/>
      <c r="E103" s="1158"/>
      <c r="F103" s="1158"/>
      <c r="G103" s="312"/>
      <c r="H103" s="1158"/>
      <c r="I103" s="1158"/>
      <c r="J103" s="1158"/>
      <c r="K103" s="1158"/>
      <c r="L103" s="315"/>
    </row>
    <row r="104" spans="3:12" ht="18" customHeight="1" x14ac:dyDescent="0.2">
      <c r="C104" s="1173"/>
      <c r="D104" s="192"/>
      <c r="E104" s="1158"/>
      <c r="F104" s="1158"/>
      <c r="G104" s="312"/>
      <c r="H104" s="1158"/>
      <c r="I104" s="1158"/>
      <c r="J104" s="1158"/>
      <c r="K104" s="1158"/>
      <c r="L104" s="315"/>
    </row>
    <row r="105" spans="3:12" ht="18" customHeight="1" x14ac:dyDescent="0.2">
      <c r="C105" s="1173"/>
      <c r="D105" s="192"/>
      <c r="E105" s="1158"/>
      <c r="F105" s="1158"/>
      <c r="G105" s="312"/>
      <c r="H105" s="1158"/>
      <c r="I105" s="1158"/>
      <c r="J105" s="1158"/>
      <c r="K105" s="1158"/>
      <c r="L105" s="315"/>
    </row>
    <row r="106" spans="3:12" ht="18" customHeight="1" x14ac:dyDescent="0.2">
      <c r="C106" s="1173"/>
      <c r="D106" s="192"/>
      <c r="E106" s="1158"/>
      <c r="F106" s="1158"/>
      <c r="G106" s="312"/>
      <c r="H106" s="1158"/>
      <c r="I106" s="1158"/>
      <c r="J106" s="1158"/>
      <c r="K106" s="1158"/>
      <c r="L106" s="315"/>
    </row>
    <row r="107" spans="3:12" ht="18" customHeight="1" x14ac:dyDescent="0.2">
      <c r="C107" s="1173"/>
      <c r="D107" s="192"/>
      <c r="E107" s="1158"/>
      <c r="F107" s="1158"/>
      <c r="G107" s="312"/>
      <c r="H107" s="1158"/>
      <c r="I107" s="1158"/>
      <c r="J107" s="1158"/>
      <c r="K107" s="1158"/>
      <c r="L107" s="315"/>
    </row>
    <row r="108" spans="3:12" ht="18" customHeight="1" x14ac:dyDescent="0.2">
      <c r="C108" s="1173"/>
      <c r="D108" s="293"/>
      <c r="E108" s="1158"/>
      <c r="F108" s="1158"/>
      <c r="G108" s="312"/>
      <c r="H108" s="1158"/>
      <c r="I108" s="1158"/>
      <c r="J108" s="1158"/>
      <c r="K108" s="1158"/>
      <c r="L108" s="315"/>
    </row>
    <row r="109" spans="3:12" ht="50.1" customHeight="1" x14ac:dyDescent="0.2">
      <c r="C109" s="1173" t="s">
        <v>1864</v>
      </c>
      <c r="D109" s="292" t="s">
        <v>1860</v>
      </c>
      <c r="E109" s="1159" t="s">
        <v>14</v>
      </c>
      <c r="F109" s="1159" t="s">
        <v>1157</v>
      </c>
      <c r="H109" s="1175" t="s">
        <v>1863</v>
      </c>
      <c r="I109" s="1159" t="s">
        <v>1862</v>
      </c>
      <c r="J109" s="1159" t="s">
        <v>1861</v>
      </c>
      <c r="K109" s="1159" t="s">
        <v>1898</v>
      </c>
      <c r="L109" s="315"/>
    </row>
    <row r="110" spans="3:12" ht="18" customHeight="1" x14ac:dyDescent="0.2">
      <c r="C110" s="1174"/>
      <c r="D110" s="870"/>
      <c r="E110" s="1160"/>
      <c r="F110" s="1160"/>
      <c r="H110" s="1176"/>
      <c r="I110" s="1160"/>
      <c r="J110" s="1160"/>
      <c r="K110" s="1160"/>
      <c r="L110" s="315"/>
    </row>
    <row r="111" spans="3:12" ht="18" customHeight="1" x14ac:dyDescent="0.2">
      <c r="C111" s="1174"/>
      <c r="D111" s="871"/>
      <c r="E111" s="1160"/>
      <c r="F111" s="1160"/>
      <c r="H111" s="1176"/>
      <c r="I111" s="1160"/>
      <c r="J111" s="1160"/>
      <c r="K111" s="1160"/>
      <c r="L111" s="315"/>
    </row>
    <row r="112" spans="3:12" ht="18" customHeight="1" x14ac:dyDescent="0.2">
      <c r="C112" s="1174"/>
      <c r="D112" s="871"/>
      <c r="E112" s="1160"/>
      <c r="F112" s="1160"/>
      <c r="H112" s="1176"/>
      <c r="I112" s="1160"/>
      <c r="J112" s="1160"/>
      <c r="K112" s="1160"/>
      <c r="L112" s="315"/>
    </row>
    <row r="113" spans="3:13" ht="18" customHeight="1" x14ac:dyDescent="0.2">
      <c r="C113" s="1174"/>
      <c r="D113" s="871"/>
      <c r="E113" s="1160"/>
      <c r="F113" s="1160"/>
      <c r="H113" s="1176"/>
      <c r="I113" s="1160"/>
      <c r="J113" s="1160"/>
      <c r="K113" s="1160"/>
      <c r="L113" s="315"/>
    </row>
    <row r="114" spans="3:13" ht="18" customHeight="1" x14ac:dyDescent="0.2">
      <c r="C114" s="1174"/>
      <c r="D114" s="871"/>
      <c r="E114" s="1160"/>
      <c r="F114" s="1160"/>
      <c r="H114" s="1176"/>
      <c r="I114" s="1160"/>
      <c r="J114" s="1160"/>
      <c r="K114" s="1160"/>
      <c r="L114" s="315"/>
    </row>
    <row r="115" spans="3:13" ht="18" customHeight="1" x14ac:dyDescent="0.2">
      <c r="C115" s="1174"/>
      <c r="D115" s="872"/>
      <c r="E115" s="1160"/>
      <c r="F115" s="1160"/>
      <c r="H115" s="1176"/>
      <c r="I115" s="1160"/>
      <c r="J115" s="1160"/>
      <c r="K115" s="1160"/>
    </row>
    <row r="116" spans="3:13" ht="18" customHeight="1" x14ac:dyDescent="0.2">
      <c r="C116" s="1174"/>
      <c r="D116" s="873"/>
      <c r="E116" s="1160"/>
      <c r="F116" s="1160"/>
      <c r="H116" s="1176"/>
      <c r="I116" s="1160"/>
      <c r="J116" s="1160"/>
      <c r="K116" s="1160"/>
    </row>
    <row r="117" spans="3:13" ht="18" customHeight="1" x14ac:dyDescent="0.2">
      <c r="C117" s="1174"/>
      <c r="D117" s="874"/>
      <c r="E117" s="1161"/>
      <c r="F117" s="1161"/>
      <c r="H117" s="1177"/>
      <c r="I117" s="1161"/>
      <c r="J117" s="1161"/>
      <c r="K117" s="1161"/>
    </row>
    <row r="118" spans="3:13" ht="18" customHeight="1" x14ac:dyDescent="0.2">
      <c r="C118" s="185" t="s">
        <v>1421</v>
      </c>
    </row>
    <row r="119" spans="3:13" ht="18" customHeight="1" x14ac:dyDescent="0.2"/>
    <row r="120" spans="3:13" ht="18" customHeight="1" x14ac:dyDescent="0.2"/>
    <row r="121" spans="3:13" ht="18" customHeight="1" x14ac:dyDescent="0.3">
      <c r="C121" s="236" t="s">
        <v>426</v>
      </c>
      <c r="D121" s="237" t="str">
        <f>Development!$B$6&amp;"_"&amp;Development!$B$5</f>
        <v>4.1.25_2.0</v>
      </c>
      <c r="E121" s="225"/>
      <c r="F121" s="235"/>
      <c r="G121" s="225"/>
      <c r="H121" s="225"/>
      <c r="I121" s="225" t="s">
        <v>970</v>
      </c>
      <c r="J121" s="225" t="str">
        <f>Development!B6</f>
        <v>4.1.25</v>
      </c>
      <c r="K121" s="226"/>
      <c r="L121" s="226"/>
      <c r="M121" s="225"/>
    </row>
    <row r="122" spans="3:13" ht="18" customHeight="1" x14ac:dyDescent="0.2"/>
    <row r="123" spans="3:13" ht="18" customHeight="1" x14ac:dyDescent="0.2"/>
    <row r="124" spans="3:13" ht="18" customHeight="1" x14ac:dyDescent="0.2"/>
    <row r="125" spans="3:13" ht="18" customHeight="1" x14ac:dyDescent="0.2"/>
    <row r="126" spans="3:13" ht="18" customHeight="1" x14ac:dyDescent="0.2"/>
    <row r="127" spans="3:13" ht="18" customHeight="1" x14ac:dyDescent="0.2"/>
    <row r="128" spans="3:13"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sheetData>
  <sheetProtection algorithmName="SHA-512" hashValue="l7NrAQH/RHeYJpepsxGZBdJJZXjBzFO1LYUKAOAwD3yhn7SytYFKhzClhEQHuT7itq9JuQw+PK3WAQTU0UoqDw==" saltValue="qr6If8q0kp+sfKz6aCvHvw==" spinCount="100000" sheet="1" objects="1" scenarios="1"/>
  <mergeCells count="93">
    <mergeCell ref="I91:I99"/>
    <mergeCell ref="C78:K78"/>
    <mergeCell ref="C79:K79"/>
    <mergeCell ref="C83:F83"/>
    <mergeCell ref="D86:D90"/>
    <mergeCell ref="E85:E90"/>
    <mergeCell ref="F85:F90"/>
    <mergeCell ref="H85:H90"/>
    <mergeCell ref="C85:C90"/>
    <mergeCell ref="I85:I90"/>
    <mergeCell ref="H83:K83"/>
    <mergeCell ref="K85:K90"/>
    <mergeCell ref="J85:J90"/>
    <mergeCell ref="C91:C99"/>
    <mergeCell ref="D92:D99"/>
    <mergeCell ref="E91:E99"/>
    <mergeCell ref="F91:F99"/>
    <mergeCell ref="H91:H99"/>
    <mergeCell ref="C100:C108"/>
    <mergeCell ref="E100:E108"/>
    <mergeCell ref="F100:F108"/>
    <mergeCell ref="H100:H108"/>
    <mergeCell ref="I100:I108"/>
    <mergeCell ref="H13:K13"/>
    <mergeCell ref="C11:L11"/>
    <mergeCell ref="E65:E67"/>
    <mergeCell ref="C71:C73"/>
    <mergeCell ref="D71:D73"/>
    <mergeCell ref="E71:E73"/>
    <mergeCell ref="C68:C70"/>
    <mergeCell ref="D68:D70"/>
    <mergeCell ref="E68:E70"/>
    <mergeCell ref="D65:D67"/>
    <mergeCell ref="C15:C17"/>
    <mergeCell ref="C19:C26"/>
    <mergeCell ref="E19:E20"/>
    <mergeCell ref="E21:E22"/>
    <mergeCell ref="E23:E24"/>
    <mergeCell ref="A1:G1"/>
    <mergeCell ref="C63:F63"/>
    <mergeCell ref="C65:C67"/>
    <mergeCell ref="D27:D28"/>
    <mergeCell ref="C33:C35"/>
    <mergeCell ref="C37:C44"/>
    <mergeCell ref="E37:E38"/>
    <mergeCell ref="E39:E40"/>
    <mergeCell ref="E41:E42"/>
    <mergeCell ref="E43:E44"/>
    <mergeCell ref="D37:D44"/>
    <mergeCell ref="C27:C28"/>
    <mergeCell ref="E27:E28"/>
    <mergeCell ref="C31:F31"/>
    <mergeCell ref="C13:F13"/>
    <mergeCell ref="B2:G2"/>
    <mergeCell ref="B3:M3"/>
    <mergeCell ref="C51:F51"/>
    <mergeCell ref="H51:J51"/>
    <mergeCell ref="C53:C57"/>
    <mergeCell ref="E53:E54"/>
    <mergeCell ref="F53:F54"/>
    <mergeCell ref="H53:H54"/>
    <mergeCell ref="I53:I54"/>
    <mergeCell ref="J53:J54"/>
    <mergeCell ref="J55:J56"/>
    <mergeCell ref="J57:J58"/>
    <mergeCell ref="H31:K31"/>
    <mergeCell ref="K33:K35"/>
    <mergeCell ref="E25:E26"/>
    <mergeCell ref="D19:D26"/>
    <mergeCell ref="C109:C117"/>
    <mergeCell ref="E109:E117"/>
    <mergeCell ref="F109:F117"/>
    <mergeCell ref="H109:H117"/>
    <mergeCell ref="I109:I117"/>
    <mergeCell ref="J74:K74"/>
    <mergeCell ref="J75:K75"/>
    <mergeCell ref="J76:K76"/>
    <mergeCell ref="K71:K73"/>
    <mergeCell ref="K65:K67"/>
    <mergeCell ref="K68:K70"/>
    <mergeCell ref="J68:J70"/>
    <mergeCell ref="J71:J73"/>
    <mergeCell ref="H71:H73"/>
    <mergeCell ref="H65:H67"/>
    <mergeCell ref="H68:H70"/>
    <mergeCell ref="J65:J67"/>
    <mergeCell ref="J33:J35"/>
    <mergeCell ref="K91:K99"/>
    <mergeCell ref="K100:K108"/>
    <mergeCell ref="K109:K117"/>
    <mergeCell ref="J109:J117"/>
    <mergeCell ref="J100:J108"/>
    <mergeCell ref="J91:J99"/>
  </mergeCells>
  <phoneticPr fontId="88" type="noConversion"/>
  <pageMargins left="0" right="0" top="0.25" bottom="0.25" header="0.3" footer="0.3"/>
  <pageSetup scale="2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142D42"/>
    <pageSetUpPr fitToPage="1"/>
  </sheetPr>
  <dimension ref="A1:KE42"/>
  <sheetViews>
    <sheetView showGridLines="0" zoomScaleNormal="100" workbookViewId="0"/>
  </sheetViews>
  <sheetFormatPr defaultColWidth="0" defaultRowHeight="16.5" x14ac:dyDescent="0.3"/>
  <cols>
    <col min="1" max="1" width="3.7109375" style="2" customWidth="1"/>
    <col min="2" max="2" width="38.85546875" style="2" bestFit="1" customWidth="1"/>
    <col min="3" max="3" width="24.7109375" style="2" customWidth="1"/>
    <col min="4" max="4" width="19.42578125" style="2" bestFit="1" customWidth="1"/>
    <col min="5" max="5" width="23.5703125" style="2" customWidth="1"/>
    <col min="6" max="6" width="15.42578125" style="2" customWidth="1"/>
    <col min="7" max="7" width="13.5703125" style="2" bestFit="1" customWidth="1"/>
    <col min="8" max="8" width="11.5703125" style="2" customWidth="1"/>
    <col min="9" max="9" width="12.140625" style="2" customWidth="1"/>
    <col min="10" max="12" width="8.5703125" style="2" customWidth="1"/>
    <col min="13" max="13" width="2.5703125" style="2" customWidth="1"/>
    <col min="14" max="15" width="11" style="2" customWidth="1"/>
    <col min="16" max="16" width="11.85546875" style="2" customWidth="1"/>
    <col min="17" max="17" width="2.5703125" style="2" customWidth="1"/>
    <col min="18" max="18" width="17.5703125" style="2" customWidth="1"/>
    <col min="19" max="19" width="15" style="2" customWidth="1"/>
    <col min="20" max="20" width="13.7109375" style="2" customWidth="1"/>
    <col min="21" max="21" width="15" style="2" customWidth="1"/>
    <col min="22" max="24" width="10.5703125" style="2" customWidth="1"/>
    <col min="25" max="25" width="8.5703125" style="2" customWidth="1"/>
    <col min="26" max="26" width="2.5703125" style="2" customWidth="1"/>
    <col min="27" max="27" width="25.7109375" style="2" customWidth="1"/>
    <col min="28" max="28" width="21" style="2" customWidth="1"/>
    <col min="29" max="29" width="9" style="2" hidden="1" customWidth="1"/>
    <col min="30" max="30" width="11.42578125" style="2" hidden="1" customWidth="1"/>
    <col min="31" max="31" width="62" style="2" customWidth="1"/>
    <col min="32" max="16384" width="16.5703125" style="2" hidden="1"/>
  </cols>
  <sheetData>
    <row r="1" spans="1:291" s="320" customFormat="1" ht="50.1" customHeight="1" x14ac:dyDescent="0.3">
      <c r="B1" s="1189" t="str">
        <f>Development!B4&amp;" "&amp; "Commercial Efficiency Program"</f>
        <v>2025 Commercial Efficiency Program</v>
      </c>
      <c r="C1" s="1189"/>
      <c r="D1" s="1189"/>
      <c r="E1" s="1189"/>
      <c r="F1" s="1189"/>
      <c r="G1" s="1189"/>
      <c r="H1" s="334"/>
      <c r="I1" s="334"/>
      <c r="J1" s="334"/>
      <c r="K1" s="334"/>
      <c r="L1" s="334"/>
      <c r="M1" s="334"/>
      <c r="N1" s="347"/>
      <c r="O1" s="347"/>
      <c r="P1" s="348"/>
      <c r="Q1" s="348"/>
      <c r="R1" s="348"/>
      <c r="S1" s="348"/>
      <c r="T1" s="348"/>
      <c r="U1" s="342"/>
      <c r="V1" s="342"/>
      <c r="W1" s="342"/>
      <c r="X1" s="342"/>
      <c r="Y1" s="342"/>
      <c r="Z1" s="342"/>
      <c r="AA1" s="335"/>
      <c r="AB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c r="EP1" s="270"/>
      <c r="EQ1" s="270"/>
      <c r="ER1" s="270"/>
      <c r="ES1" s="270"/>
      <c r="ET1" s="270"/>
      <c r="EU1" s="270"/>
      <c r="EV1" s="270"/>
      <c r="EW1" s="270"/>
      <c r="EX1" s="270"/>
      <c r="EY1" s="270"/>
      <c r="EZ1" s="270"/>
      <c r="FA1" s="270"/>
      <c r="FB1" s="270"/>
      <c r="FC1" s="270"/>
      <c r="FD1" s="270"/>
      <c r="FE1" s="270"/>
      <c r="FF1" s="270"/>
      <c r="FG1" s="270"/>
      <c r="FH1" s="270"/>
      <c r="FI1" s="270"/>
      <c r="FJ1" s="270"/>
      <c r="FK1" s="270"/>
      <c r="FL1" s="270"/>
      <c r="FM1" s="270"/>
      <c r="FN1" s="270"/>
      <c r="FO1" s="270"/>
      <c r="FP1" s="270"/>
      <c r="FQ1" s="270"/>
      <c r="FR1" s="270"/>
      <c r="FS1" s="270"/>
      <c r="FT1" s="270"/>
      <c r="FU1" s="270"/>
      <c r="FV1" s="270"/>
      <c r="FW1" s="270"/>
      <c r="FX1" s="270"/>
      <c r="FY1" s="270"/>
      <c r="FZ1" s="270"/>
      <c r="GA1" s="270"/>
      <c r="GB1" s="270"/>
      <c r="GC1" s="270"/>
      <c r="GD1" s="270"/>
      <c r="GE1" s="270"/>
      <c r="GF1" s="270"/>
      <c r="GG1" s="270"/>
      <c r="GH1" s="270"/>
      <c r="GI1" s="270"/>
      <c r="GJ1" s="270"/>
      <c r="GK1" s="270"/>
      <c r="GL1" s="270"/>
      <c r="GM1" s="270"/>
      <c r="GN1" s="270"/>
      <c r="GO1" s="270"/>
      <c r="GP1" s="270"/>
      <c r="GQ1" s="270"/>
      <c r="GR1" s="270"/>
      <c r="GS1" s="270"/>
      <c r="GT1" s="270"/>
      <c r="GU1" s="270"/>
      <c r="GV1" s="270"/>
      <c r="GW1" s="270"/>
      <c r="GX1" s="270"/>
      <c r="GY1" s="270"/>
      <c r="GZ1" s="270"/>
      <c r="HA1" s="270"/>
      <c r="HB1" s="270"/>
      <c r="HC1" s="270"/>
      <c r="HD1" s="270"/>
      <c r="HE1" s="270"/>
      <c r="HF1" s="270"/>
      <c r="HG1" s="270"/>
      <c r="HH1" s="270"/>
      <c r="HI1" s="270"/>
      <c r="HJ1" s="270"/>
      <c r="HK1" s="270"/>
      <c r="HL1" s="270"/>
      <c r="HM1" s="270"/>
      <c r="HN1" s="270"/>
      <c r="HO1" s="270"/>
      <c r="HP1" s="270"/>
      <c r="HQ1" s="270"/>
      <c r="HR1" s="270"/>
      <c r="HS1" s="270"/>
      <c r="HT1" s="270"/>
      <c r="HU1" s="270"/>
      <c r="HV1" s="270"/>
      <c r="HW1" s="270"/>
      <c r="HX1" s="270"/>
      <c r="HY1" s="270"/>
      <c r="HZ1" s="270"/>
      <c r="IA1" s="270"/>
      <c r="IB1" s="270"/>
      <c r="IC1" s="270"/>
      <c r="ID1" s="270"/>
      <c r="IE1" s="270"/>
      <c r="IF1" s="270"/>
      <c r="IG1" s="270"/>
      <c r="IH1" s="270"/>
      <c r="II1" s="270"/>
      <c r="IJ1" s="270"/>
      <c r="IK1" s="270"/>
      <c r="IL1" s="270"/>
      <c r="IM1" s="270"/>
      <c r="IN1" s="270"/>
      <c r="IO1" s="270"/>
      <c r="IP1" s="270"/>
      <c r="IQ1" s="270"/>
      <c r="IR1" s="270"/>
      <c r="IS1" s="270"/>
      <c r="IT1" s="270"/>
      <c r="IU1" s="270"/>
      <c r="IV1" s="270"/>
      <c r="IW1" s="270"/>
      <c r="IX1" s="270"/>
      <c r="IY1" s="270"/>
      <c r="IZ1" s="270"/>
      <c r="JA1" s="270"/>
      <c r="JB1" s="270"/>
      <c r="JC1" s="270"/>
      <c r="JD1" s="270"/>
      <c r="JE1" s="270"/>
      <c r="JF1" s="270"/>
      <c r="JG1" s="270"/>
      <c r="JH1" s="270"/>
      <c r="JI1" s="270"/>
      <c r="JJ1" s="270"/>
      <c r="JK1" s="270"/>
      <c r="JL1" s="270"/>
      <c r="JM1" s="270"/>
      <c r="JN1" s="270"/>
      <c r="JO1" s="270"/>
      <c r="JP1" s="270"/>
      <c r="JQ1" s="270"/>
      <c r="JR1" s="270"/>
      <c r="JS1" s="270"/>
      <c r="JT1" s="270"/>
      <c r="JU1" s="270"/>
      <c r="JV1" s="270"/>
      <c r="JW1" s="270"/>
      <c r="JX1" s="270"/>
      <c r="JY1" s="270"/>
      <c r="JZ1" s="270"/>
      <c r="KA1" s="270"/>
      <c r="KB1" s="270"/>
      <c r="KC1" s="270"/>
      <c r="KD1" s="270"/>
      <c r="KE1" s="270"/>
    </row>
    <row r="2" spans="1:291" s="321" customFormat="1" ht="50.1" customHeight="1" thickBot="1" x14ac:dyDescent="0.35">
      <c r="A2" s="1046"/>
      <c r="B2" s="1145" t="str">
        <f>"     "&amp;" HVAC Rebate Worksheet, Version"&amp;" "&amp;Development!B5</f>
        <v xml:space="preserve">      HVAC Rebate Worksheet, Version 2.0</v>
      </c>
      <c r="C2" s="1145"/>
      <c r="D2" s="1145"/>
      <c r="E2" s="1145"/>
      <c r="F2" s="1145"/>
      <c r="G2" s="1145"/>
      <c r="H2" s="1047"/>
      <c r="I2" s="1047"/>
      <c r="J2" s="1047"/>
      <c r="K2" s="1047"/>
      <c r="L2" s="1047"/>
      <c r="M2" s="1047"/>
      <c r="N2" s="1048"/>
      <c r="O2" s="1048"/>
      <c r="P2" s="1049"/>
      <c r="Q2" s="1049"/>
      <c r="R2" s="1049"/>
      <c r="S2" s="1049"/>
      <c r="T2" s="1049"/>
      <c r="U2" s="1050"/>
      <c r="V2" s="1050"/>
      <c r="W2" s="1050"/>
      <c r="X2" s="1050"/>
      <c r="Y2" s="1050"/>
      <c r="Z2" s="1050"/>
      <c r="AA2" s="1051"/>
      <c r="AB2" s="1052"/>
      <c r="AC2" s="1046"/>
      <c r="AD2" s="1046"/>
      <c r="AE2" s="1049"/>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c r="BL2" s="270"/>
      <c r="BM2" s="270"/>
      <c r="BN2" s="270"/>
      <c r="BO2" s="270"/>
      <c r="BP2" s="270"/>
      <c r="BQ2" s="270"/>
      <c r="BR2" s="270"/>
      <c r="BS2" s="270"/>
      <c r="BT2" s="270"/>
      <c r="BU2" s="270"/>
      <c r="BV2" s="270"/>
      <c r="BW2" s="270"/>
      <c r="BX2" s="270"/>
      <c r="BY2" s="270"/>
      <c r="BZ2" s="270"/>
      <c r="CA2" s="270"/>
      <c r="CB2" s="270"/>
      <c r="CC2" s="270"/>
      <c r="CD2" s="270"/>
      <c r="CE2" s="270"/>
      <c r="CF2" s="270"/>
      <c r="CG2" s="270"/>
      <c r="CH2" s="270"/>
      <c r="CI2" s="270"/>
      <c r="CJ2" s="270"/>
      <c r="CK2" s="270"/>
      <c r="CL2" s="270"/>
      <c r="CM2" s="270"/>
      <c r="CN2" s="270"/>
      <c r="CO2" s="270"/>
      <c r="CP2" s="270"/>
      <c r="CQ2" s="270"/>
      <c r="CR2" s="270"/>
      <c r="CS2" s="270"/>
      <c r="CT2" s="270"/>
      <c r="CU2" s="270"/>
      <c r="CV2" s="270"/>
      <c r="CW2" s="270"/>
      <c r="CX2" s="270"/>
      <c r="CY2" s="270"/>
      <c r="CZ2" s="270"/>
      <c r="DA2" s="270"/>
      <c r="DB2" s="270"/>
      <c r="DC2" s="270"/>
      <c r="DD2" s="270"/>
      <c r="DE2" s="270"/>
      <c r="DF2" s="270"/>
      <c r="DG2" s="270"/>
      <c r="DH2" s="270"/>
      <c r="DI2" s="270"/>
      <c r="DJ2" s="270"/>
      <c r="DK2" s="270"/>
      <c r="DL2" s="270"/>
      <c r="DM2" s="270"/>
      <c r="DN2" s="270"/>
      <c r="DO2" s="270"/>
      <c r="DP2" s="270"/>
      <c r="DQ2" s="270"/>
      <c r="DR2" s="270"/>
      <c r="DS2" s="270"/>
      <c r="DT2" s="270"/>
      <c r="DU2" s="270"/>
      <c r="DV2" s="270"/>
      <c r="DW2" s="270"/>
      <c r="DX2" s="270"/>
      <c r="DY2" s="270"/>
      <c r="DZ2" s="270"/>
      <c r="EA2" s="270"/>
      <c r="EB2" s="270"/>
      <c r="EC2" s="270"/>
      <c r="ED2" s="270"/>
      <c r="EE2" s="270"/>
      <c r="EF2" s="270"/>
      <c r="EG2" s="270"/>
      <c r="EH2" s="270"/>
      <c r="EI2" s="270"/>
      <c r="EJ2" s="270"/>
      <c r="EK2" s="270"/>
      <c r="EL2" s="270"/>
      <c r="EM2" s="270"/>
      <c r="EN2" s="270"/>
      <c r="EO2" s="270"/>
      <c r="EP2" s="270"/>
      <c r="EQ2" s="270"/>
      <c r="ER2" s="270"/>
      <c r="ES2" s="270"/>
      <c r="ET2" s="270"/>
      <c r="EU2" s="270"/>
      <c r="EV2" s="270"/>
      <c r="EW2" s="270"/>
      <c r="EX2" s="270"/>
      <c r="EY2" s="270"/>
      <c r="EZ2" s="270"/>
      <c r="FA2" s="270"/>
      <c r="FB2" s="270"/>
      <c r="FC2" s="270"/>
      <c r="FD2" s="270"/>
      <c r="FE2" s="270"/>
      <c r="FF2" s="270"/>
      <c r="FG2" s="270"/>
      <c r="FH2" s="270"/>
      <c r="FI2" s="270"/>
      <c r="FJ2" s="270"/>
      <c r="FK2" s="270"/>
      <c r="FL2" s="270"/>
      <c r="FM2" s="270"/>
      <c r="FN2" s="270"/>
      <c r="FO2" s="270"/>
      <c r="FP2" s="270"/>
      <c r="FQ2" s="270"/>
      <c r="FR2" s="270"/>
      <c r="FS2" s="270"/>
      <c r="FT2" s="270"/>
      <c r="FU2" s="270"/>
      <c r="FV2" s="270"/>
      <c r="FW2" s="270"/>
      <c r="FX2" s="270"/>
      <c r="FY2" s="270"/>
      <c r="FZ2" s="270"/>
      <c r="GA2" s="270"/>
      <c r="GB2" s="270"/>
      <c r="GC2" s="270"/>
      <c r="GD2" s="270"/>
      <c r="GE2" s="270"/>
      <c r="GF2" s="270"/>
      <c r="GG2" s="270"/>
      <c r="GH2" s="270"/>
      <c r="GI2" s="270"/>
      <c r="GJ2" s="270"/>
      <c r="GK2" s="270"/>
      <c r="GL2" s="270"/>
      <c r="GM2" s="270"/>
      <c r="GN2" s="270"/>
      <c r="GO2" s="270"/>
      <c r="GP2" s="270"/>
      <c r="GQ2" s="270"/>
      <c r="GR2" s="270"/>
      <c r="GS2" s="270"/>
      <c r="GT2" s="270"/>
      <c r="GU2" s="270"/>
      <c r="GV2" s="270"/>
      <c r="GW2" s="270"/>
      <c r="GX2" s="270"/>
      <c r="GY2" s="270"/>
      <c r="GZ2" s="270"/>
      <c r="HA2" s="270"/>
      <c r="HB2" s="270"/>
      <c r="HC2" s="270"/>
      <c r="HD2" s="270"/>
      <c r="HE2" s="270"/>
      <c r="HF2" s="270"/>
      <c r="HG2" s="270"/>
      <c r="HH2" s="270"/>
      <c r="HI2" s="270"/>
      <c r="HJ2" s="270"/>
      <c r="HK2" s="270"/>
      <c r="HL2" s="270"/>
      <c r="HM2" s="270"/>
      <c r="HN2" s="270"/>
      <c r="HO2" s="270"/>
      <c r="HP2" s="270"/>
      <c r="HQ2" s="270"/>
      <c r="HR2" s="270"/>
      <c r="HS2" s="270"/>
      <c r="HT2" s="270"/>
      <c r="HU2" s="270"/>
      <c r="HV2" s="270"/>
      <c r="HW2" s="270"/>
      <c r="HX2" s="270"/>
      <c r="HY2" s="270"/>
      <c r="HZ2" s="270"/>
      <c r="IA2" s="270"/>
      <c r="IB2" s="270"/>
      <c r="IC2" s="270"/>
      <c r="ID2" s="270"/>
      <c r="IE2" s="270"/>
      <c r="IF2" s="270"/>
      <c r="IG2" s="270"/>
      <c r="IH2" s="270"/>
      <c r="II2" s="270"/>
      <c r="IJ2" s="270"/>
      <c r="IK2" s="270"/>
      <c r="IL2" s="270"/>
      <c r="IM2" s="270"/>
      <c r="IN2" s="270"/>
      <c r="IO2" s="270"/>
      <c r="IP2" s="270"/>
      <c r="IQ2" s="270"/>
      <c r="IR2" s="270"/>
      <c r="IS2" s="270"/>
      <c r="IT2" s="270"/>
      <c r="IU2" s="270"/>
      <c r="IV2" s="270"/>
      <c r="IW2" s="270"/>
      <c r="IX2" s="270"/>
      <c r="IY2" s="270"/>
      <c r="IZ2" s="270"/>
      <c r="JA2" s="270"/>
      <c r="JB2" s="270"/>
      <c r="JC2" s="270"/>
      <c r="JD2" s="270"/>
      <c r="JE2" s="270"/>
      <c r="JF2" s="270"/>
      <c r="JG2" s="270"/>
      <c r="JH2" s="270"/>
      <c r="JI2" s="270"/>
      <c r="JJ2" s="270"/>
      <c r="JK2" s="270"/>
      <c r="JL2" s="270"/>
      <c r="JM2" s="270"/>
      <c r="JN2" s="270"/>
      <c r="JO2" s="270"/>
      <c r="JP2" s="270"/>
      <c r="JQ2" s="270"/>
      <c r="JR2" s="270"/>
      <c r="JS2" s="270"/>
      <c r="JT2" s="270"/>
      <c r="JU2" s="270"/>
      <c r="JV2" s="270"/>
      <c r="JW2" s="270"/>
      <c r="JX2" s="270"/>
      <c r="JY2" s="270"/>
      <c r="JZ2" s="270"/>
      <c r="KA2" s="270"/>
      <c r="KB2" s="270"/>
      <c r="KC2" s="270"/>
      <c r="KD2" s="270"/>
      <c r="KE2" s="270"/>
    </row>
    <row r="3" spans="1:291" s="270" customFormat="1" ht="9" customHeight="1" thickTop="1" thickBot="1" x14ac:dyDescent="0.35">
      <c r="B3" s="271"/>
      <c r="C3" s="271"/>
      <c r="D3" s="271"/>
      <c r="E3" s="271"/>
      <c r="F3" s="271"/>
      <c r="G3" s="271"/>
      <c r="H3" s="271"/>
      <c r="I3" s="271"/>
      <c r="J3" s="271"/>
      <c r="K3" s="271"/>
      <c r="L3" s="271"/>
      <c r="M3" s="271"/>
      <c r="N3" s="271"/>
      <c r="O3" s="271"/>
      <c r="P3" s="271"/>
      <c r="Q3" s="271"/>
      <c r="R3" s="271"/>
      <c r="S3" s="271"/>
      <c r="T3" s="271"/>
      <c r="U3" s="272"/>
      <c r="V3" s="272"/>
      <c r="W3" s="272"/>
      <c r="X3" s="272"/>
      <c r="Y3" s="272"/>
      <c r="Z3" s="272"/>
      <c r="AA3" s="272"/>
    </row>
    <row r="4" spans="1:291" ht="22.35" customHeight="1" x14ac:dyDescent="0.3">
      <c r="B4" s="77" t="s">
        <v>349</v>
      </c>
      <c r="C4" s="76" t="str">
        <f>Development!B6</f>
        <v>4.1.25</v>
      </c>
      <c r="AA4" s="1215" t="s">
        <v>385</v>
      </c>
      <c r="AB4" s="1216"/>
      <c r="AC4" s="209"/>
    </row>
    <row r="5" spans="1:291" ht="16.5" customHeight="1" thickBot="1" x14ac:dyDescent="0.35">
      <c r="AA5" s="1217"/>
      <c r="AB5" s="1218"/>
      <c r="AC5" s="209"/>
    </row>
    <row r="6" spans="1:291" ht="16.5" customHeight="1" x14ac:dyDescent="0.3">
      <c r="B6" s="1" t="s">
        <v>0</v>
      </c>
      <c r="C6" s="1214" t="str">
        <f>IF('Customer Information'!$C$6="","",'Customer Information'!$C$6)</f>
        <v/>
      </c>
      <c r="D6" s="1214"/>
      <c r="E6" s="17" t="s">
        <v>801</v>
      </c>
      <c r="F6" s="1212" t="str">
        <f>IF('Customer Information'!C16="","",'Customer Information'!C16)</f>
        <v>Select…</v>
      </c>
      <c r="G6" s="1212"/>
      <c r="AA6" s="982" t="s">
        <v>386</v>
      </c>
      <c r="AB6" s="1002" t="str">
        <f>Summary!H69</f>
        <v/>
      </c>
      <c r="AC6" s="82"/>
    </row>
    <row r="7" spans="1:291" ht="16.5" customHeight="1" x14ac:dyDescent="0.3">
      <c r="B7" s="1" t="s">
        <v>2</v>
      </c>
      <c r="C7" s="1214" t="str">
        <f>IF('Customer Information'!$C$7="","",'Customer Information'!$C$7)</f>
        <v/>
      </c>
      <c r="D7" s="1214"/>
      <c r="E7" s="1" t="s">
        <v>1</v>
      </c>
      <c r="F7" s="1211" t="str">
        <f>IF('Customer Information'!$C$5="","",'Customer Information'!$C$5)</f>
        <v/>
      </c>
      <c r="G7" s="1211"/>
      <c r="AA7" s="982" t="s">
        <v>387</v>
      </c>
      <c r="AB7" s="998" t="str">
        <f>Summary!I69</f>
        <v/>
      </c>
      <c r="AC7" s="82"/>
    </row>
    <row r="8" spans="1:291" x14ac:dyDescent="0.3">
      <c r="B8" s="1" t="s">
        <v>3</v>
      </c>
      <c r="C8" s="1214" t="str">
        <f>IF(AND('Customer Information'!$I$7="",'Customer Information'!$L$7=""),"",CONCATENATE('Customer Information'!$I$7,", NY ",'Customer Information'!$L$7))</f>
        <v/>
      </c>
      <c r="D8" s="1214"/>
      <c r="E8" s="1" t="s">
        <v>4</v>
      </c>
      <c r="F8" s="1213" t="str">
        <f>IF('Customer Information'!$K$9="","",'Customer Information'!$K$9)</f>
        <v/>
      </c>
      <c r="G8" s="1213"/>
      <c r="U8" s="764"/>
      <c r="AA8" s="982" t="s">
        <v>943</v>
      </c>
      <c r="AB8" s="999" t="str">
        <f>Summary!J69</f>
        <v/>
      </c>
      <c r="AC8" s="82"/>
    </row>
    <row r="9" spans="1:291" x14ac:dyDescent="0.3">
      <c r="B9" s="1" t="s">
        <v>5</v>
      </c>
      <c r="C9" s="1214" t="str">
        <f>IF('Customer Information'!$C$10="","",'Customer Information'!$C$10)</f>
        <v/>
      </c>
      <c r="D9" s="1214"/>
      <c r="E9" s="1" t="s">
        <v>6</v>
      </c>
      <c r="F9" s="1213" t="str">
        <f>IF('Customer Information'!$K$10="","",'Customer Information'!$K$10)</f>
        <v/>
      </c>
      <c r="G9" s="1213"/>
      <c r="AA9" s="985" t="s">
        <v>375</v>
      </c>
      <c r="AB9" s="1000" t="str">
        <f>IF(SUM(AB16:AB40)=0,"",SUM(AB16:AB40))</f>
        <v/>
      </c>
      <c r="AC9" s="82"/>
    </row>
    <row r="10" spans="1:291" ht="17.25" thickBot="1" x14ac:dyDescent="0.35">
      <c r="B10" s="1" t="s">
        <v>7</v>
      </c>
      <c r="C10" s="1214" t="str">
        <f>IF('Customer Information'!$C$11="","",'Customer Information'!$C$11)</f>
        <v/>
      </c>
      <c r="D10" s="1214"/>
      <c r="E10" s="1" t="s">
        <v>8</v>
      </c>
      <c r="F10" s="1213" t="str">
        <f>IF('Customer Information'!$K$11="","",'Customer Information'!$K$11)</f>
        <v/>
      </c>
      <c r="G10" s="1213"/>
      <c r="AA10" s="987" t="s">
        <v>536</v>
      </c>
      <c r="AB10" s="1001" t="str">
        <f>IF(OR(Calculations!BB6="",Calculations!BB6=0,AB9=""),"",Calculations!BB6)</f>
        <v/>
      </c>
      <c r="AC10" s="81"/>
      <c r="AD10" s="78" t="e">
        <f>IF(AB9=0,"",AB10/AB9)</f>
        <v>#VALUE!</v>
      </c>
    </row>
    <row r="11" spans="1:291" x14ac:dyDescent="0.3">
      <c r="B11" s="1" t="s">
        <v>687</v>
      </c>
      <c r="C11" s="1214" t="str">
        <f>IF('Customer Information'!$L$42="","",'Customer Information'!$L$42)</f>
        <v/>
      </c>
      <c r="D11" s="1214"/>
      <c r="E11" s="1"/>
      <c r="F11" s="1"/>
      <c r="G11" s="1"/>
    </row>
    <row r="12" spans="1:291" ht="17.25" thickBot="1" x14ac:dyDescent="0.35">
      <c r="B12" s="1"/>
      <c r="C12" s="1"/>
      <c r="D12" s="1"/>
      <c r="E12" s="1"/>
      <c r="F12" s="1"/>
      <c r="G12" s="1"/>
      <c r="S12" s="274"/>
      <c r="T12" s="274"/>
      <c r="U12" s="274"/>
      <c r="V12" s="274"/>
      <c r="W12" s="274"/>
      <c r="X12" s="274"/>
      <c r="Y12" s="274"/>
      <c r="AA12" s="232" t="str">
        <f>IF(OR(F6="",F6="Select …"),"*Please enter a Building Type*","")</f>
        <v/>
      </c>
    </row>
    <row r="13" spans="1:291" x14ac:dyDescent="0.3">
      <c r="B13" s="1208" t="s">
        <v>22</v>
      </c>
      <c r="C13" s="1209"/>
      <c r="D13" s="1209"/>
      <c r="E13" s="1209"/>
      <c r="F13" s="1209"/>
      <c r="G13" s="1209"/>
      <c r="H13" s="1209"/>
      <c r="I13" s="1209"/>
      <c r="J13" s="1209"/>
      <c r="K13" s="1209"/>
      <c r="L13" s="1210"/>
      <c r="M13" s="229"/>
      <c r="N13" s="1208" t="s">
        <v>305</v>
      </c>
      <c r="O13" s="1209"/>
      <c r="P13" s="1210"/>
      <c r="Q13" s="229"/>
      <c r="R13" s="1208" t="s">
        <v>21</v>
      </c>
      <c r="S13" s="1209"/>
      <c r="T13" s="1209"/>
      <c r="U13" s="1209"/>
      <c r="V13" s="1209"/>
      <c r="W13" s="1209"/>
      <c r="X13" s="1209"/>
      <c r="Y13" s="1210"/>
      <c r="Z13" s="229"/>
      <c r="AA13" s="1208"/>
      <c r="AB13" s="1210"/>
    </row>
    <row r="14" spans="1:291" s="75" customFormat="1" ht="42" customHeight="1" thickBot="1" x14ac:dyDescent="0.35">
      <c r="A14" s="2"/>
      <c r="B14" s="918" t="s">
        <v>9</v>
      </c>
      <c r="C14" s="919" t="s">
        <v>13</v>
      </c>
      <c r="D14" s="919" t="s">
        <v>10</v>
      </c>
      <c r="E14" s="919" t="s">
        <v>12</v>
      </c>
      <c r="F14" s="919" t="s">
        <v>708</v>
      </c>
      <c r="G14" s="919" t="s">
        <v>23</v>
      </c>
      <c r="H14" s="919" t="s">
        <v>16</v>
      </c>
      <c r="I14" s="919" t="s">
        <v>440</v>
      </c>
      <c r="J14" s="919" t="s">
        <v>15</v>
      </c>
      <c r="K14" s="919" t="s">
        <v>73</v>
      </c>
      <c r="L14" s="920" t="s">
        <v>72</v>
      </c>
      <c r="M14" s="928"/>
      <c r="N14" s="918" t="s">
        <v>306</v>
      </c>
      <c r="O14" s="919" t="s">
        <v>307</v>
      </c>
      <c r="P14" s="920" t="s">
        <v>308</v>
      </c>
      <c r="Q14" s="943"/>
      <c r="R14" s="918" t="s">
        <v>1010</v>
      </c>
      <c r="S14" s="919" t="s">
        <v>1011</v>
      </c>
      <c r="T14" s="919" t="s">
        <v>1064</v>
      </c>
      <c r="U14" s="919" t="s">
        <v>1065</v>
      </c>
      <c r="V14" s="919" t="s">
        <v>1066</v>
      </c>
      <c r="W14" s="919" t="s">
        <v>1067</v>
      </c>
      <c r="X14" s="919" t="s">
        <v>1068</v>
      </c>
      <c r="Y14" s="920" t="s">
        <v>758</v>
      </c>
      <c r="Z14" s="943"/>
      <c r="AA14" s="918" t="s">
        <v>540</v>
      </c>
      <c r="AB14" s="920" t="s">
        <v>17</v>
      </c>
    </row>
    <row r="15" spans="1:291" ht="20.100000000000001" customHeight="1" thickBot="1" x14ac:dyDescent="0.35">
      <c r="A15" s="4" t="s">
        <v>39</v>
      </c>
      <c r="B15" s="946" t="s">
        <v>63</v>
      </c>
      <c r="C15" s="947" t="s">
        <v>62</v>
      </c>
      <c r="D15" s="947" t="s">
        <v>11</v>
      </c>
      <c r="E15" s="947" t="s">
        <v>154</v>
      </c>
      <c r="F15" s="947" t="s">
        <v>272</v>
      </c>
      <c r="G15" s="947">
        <v>5</v>
      </c>
      <c r="H15" s="947">
        <v>3</v>
      </c>
      <c r="I15" s="947">
        <v>16</v>
      </c>
      <c r="J15" s="947">
        <v>13</v>
      </c>
      <c r="K15" s="947">
        <v>8.5</v>
      </c>
      <c r="L15" s="990">
        <v>3.5</v>
      </c>
      <c r="M15" s="929"/>
      <c r="N15" s="940">
        <v>5000</v>
      </c>
      <c r="O15" s="941">
        <v>1500</v>
      </c>
      <c r="P15" s="942">
        <v>6500</v>
      </c>
      <c r="Q15" s="943"/>
      <c r="R15" s="946" t="s">
        <v>123</v>
      </c>
      <c r="S15" s="947" t="s">
        <v>747</v>
      </c>
      <c r="T15" s="947"/>
      <c r="U15" s="948">
        <v>13</v>
      </c>
      <c r="V15" s="948">
        <v>9</v>
      </c>
      <c r="W15" s="947">
        <v>8.5</v>
      </c>
      <c r="X15" s="947">
        <v>1</v>
      </c>
      <c r="Y15" s="949">
        <v>0.8</v>
      </c>
      <c r="Z15" s="929"/>
      <c r="AA15" s="946"/>
      <c r="AB15" s="991"/>
    </row>
    <row r="16" spans="1:291" ht="20.100000000000001" customHeight="1" x14ac:dyDescent="0.3">
      <c r="A16" s="2">
        <v>1</v>
      </c>
      <c r="B16" s="921"/>
      <c r="C16" s="922"/>
      <c r="D16" s="922"/>
      <c r="E16" s="922"/>
      <c r="F16" s="922"/>
      <c r="G16" s="922"/>
      <c r="H16" s="922"/>
      <c r="I16" s="922"/>
      <c r="J16" s="922"/>
      <c r="K16" s="922"/>
      <c r="L16" s="995"/>
      <c r="M16" s="929"/>
      <c r="N16" s="961"/>
      <c r="O16" s="964"/>
      <c r="P16" s="967" t="str">
        <f t="shared" ref="P16:P40" si="0">IF(OR(N16="",O16=""),"",O16+N16)</f>
        <v/>
      </c>
      <c r="Q16" s="943"/>
      <c r="R16" s="921"/>
      <c r="S16" s="922"/>
      <c r="T16" s="922"/>
      <c r="U16" s="922"/>
      <c r="V16" s="922"/>
      <c r="W16" s="922"/>
      <c r="X16" s="922"/>
      <c r="Y16" s="970"/>
      <c r="Z16" s="929"/>
      <c r="AA16" s="992" t="str">
        <f>IF(OR(ISERROR(Calculations!AF6),Calculations!M6=""),"",Calculations!AF6)</f>
        <v/>
      </c>
      <c r="AB16" s="976" t="str">
        <f>IF(OR(H16="",R16="",S16="",P16="",$AA$12="*Please enter a Building Type*"),"",Calculations!BA6)</f>
        <v/>
      </c>
      <c r="AC16" s="79" t="str">
        <f>IF(AB16="","",AB16*AD$10)</f>
        <v/>
      </c>
      <c r="AD16" s="79" t="str">
        <f t="shared" ref="AD16:AD40" si="1">IF(AC16="","",AC16/H16)</f>
        <v/>
      </c>
      <c r="AE16" s="262" t="str">
        <f>IF(AND(OR(R16="",S16=""),AA16="PASS"),"*Please enter Existing Equipment Type. Enter ''None'' for New Construction*","")</f>
        <v/>
      </c>
    </row>
    <row r="17" spans="1:31" ht="20.100000000000001" customHeight="1" x14ac:dyDescent="0.3">
      <c r="A17" s="3">
        <v>2</v>
      </c>
      <c r="B17" s="914"/>
      <c r="C17" s="107"/>
      <c r="D17" s="107"/>
      <c r="E17" s="107"/>
      <c r="F17" s="107"/>
      <c r="G17" s="107"/>
      <c r="H17" s="107"/>
      <c r="I17" s="107"/>
      <c r="J17" s="107"/>
      <c r="K17" s="107"/>
      <c r="L17" s="996"/>
      <c r="M17" s="929"/>
      <c r="N17" s="962"/>
      <c r="O17" s="965"/>
      <c r="P17" s="968" t="str">
        <f t="shared" si="0"/>
        <v/>
      </c>
      <c r="Q17" s="943"/>
      <c r="R17" s="914"/>
      <c r="S17" s="107"/>
      <c r="T17" s="107"/>
      <c r="U17" s="107"/>
      <c r="V17" s="107"/>
      <c r="W17" s="107"/>
      <c r="X17" s="107"/>
      <c r="Y17" s="971"/>
      <c r="Z17" s="929"/>
      <c r="AA17" s="993" t="str">
        <f>IF(OR(ISERROR(Calculations!AF7),Calculations!M7=""),"",Calculations!AF7)</f>
        <v/>
      </c>
      <c r="AB17" s="978" t="str">
        <f>IF(OR(H17="",R17="",S17="",P17="",$AA$12="*Please enter a Building Type*"),"",Calculations!BA7)</f>
        <v/>
      </c>
      <c r="AC17" s="79" t="str">
        <f t="shared" ref="AC17:AC40" si="2">IF(AB17="","",AB17*AD$10)</f>
        <v/>
      </c>
      <c r="AD17" s="79" t="str">
        <f t="shared" si="1"/>
        <v/>
      </c>
      <c r="AE17" s="262"/>
    </row>
    <row r="18" spans="1:31" ht="20.100000000000001" customHeight="1" x14ac:dyDescent="0.3">
      <c r="A18" s="3">
        <v>3</v>
      </c>
      <c r="B18" s="914"/>
      <c r="C18" s="107"/>
      <c r="D18" s="107"/>
      <c r="E18" s="107"/>
      <c r="F18" s="107"/>
      <c r="G18" s="107"/>
      <c r="H18" s="107"/>
      <c r="I18" s="107"/>
      <c r="J18" s="107"/>
      <c r="K18" s="107"/>
      <c r="L18" s="996"/>
      <c r="M18" s="929"/>
      <c r="N18" s="962"/>
      <c r="O18" s="965"/>
      <c r="P18" s="968" t="str">
        <f t="shared" si="0"/>
        <v/>
      </c>
      <c r="Q18" s="943"/>
      <c r="R18" s="914"/>
      <c r="S18" s="107"/>
      <c r="T18" s="107"/>
      <c r="U18" s="107"/>
      <c r="V18" s="107"/>
      <c r="W18" s="107"/>
      <c r="X18" s="107"/>
      <c r="Y18" s="971"/>
      <c r="Z18" s="929"/>
      <c r="AA18" s="993" t="str">
        <f>IF(OR(ISERROR(Calculations!AF8),Calculations!M8=""),"",Calculations!AF8)</f>
        <v/>
      </c>
      <c r="AB18" s="978" t="str">
        <f>IF(OR(H18="",R18="",S18="",P18="",$AA$12="*Please enter a Building Type*"),"",Calculations!BA8)</f>
        <v/>
      </c>
      <c r="AC18" s="79" t="str">
        <f t="shared" si="2"/>
        <v/>
      </c>
      <c r="AD18" s="79" t="str">
        <f t="shared" si="1"/>
        <v/>
      </c>
      <c r="AE18" s="262"/>
    </row>
    <row r="19" spans="1:31" ht="20.100000000000001" customHeight="1" x14ac:dyDescent="0.3">
      <c r="A19" s="3">
        <v>4</v>
      </c>
      <c r="B19" s="914"/>
      <c r="C19" s="107"/>
      <c r="D19" s="107"/>
      <c r="E19" s="107"/>
      <c r="F19" s="107"/>
      <c r="G19" s="107"/>
      <c r="H19" s="107"/>
      <c r="I19" s="107"/>
      <c r="J19" s="107"/>
      <c r="K19" s="107"/>
      <c r="L19" s="996"/>
      <c r="M19" s="929"/>
      <c r="N19" s="962"/>
      <c r="O19" s="965"/>
      <c r="P19" s="968" t="str">
        <f t="shared" si="0"/>
        <v/>
      </c>
      <c r="Q19" s="943"/>
      <c r="R19" s="914"/>
      <c r="S19" s="107"/>
      <c r="T19" s="107"/>
      <c r="U19" s="107"/>
      <c r="V19" s="107"/>
      <c r="W19" s="107"/>
      <c r="X19" s="107"/>
      <c r="Y19" s="971"/>
      <c r="Z19" s="929"/>
      <c r="AA19" s="993" t="str">
        <f>IF(OR(ISERROR(Calculations!AF9),Calculations!M9=""),"",Calculations!AF9)</f>
        <v/>
      </c>
      <c r="AB19" s="978" t="str">
        <f>IF(OR(H19="",R19="",S19="",P19="",$AA$12="*Please enter a Building Type*"),"",Calculations!BA9)</f>
        <v/>
      </c>
      <c r="AC19" s="79" t="str">
        <f t="shared" si="2"/>
        <v/>
      </c>
      <c r="AD19" s="79" t="str">
        <f t="shared" si="1"/>
        <v/>
      </c>
      <c r="AE19" s="262"/>
    </row>
    <row r="20" spans="1:31" ht="20.100000000000001" customHeight="1" x14ac:dyDescent="0.3">
      <c r="A20" s="3">
        <v>5</v>
      </c>
      <c r="B20" s="914"/>
      <c r="C20" s="107"/>
      <c r="D20" s="107"/>
      <c r="E20" s="107"/>
      <c r="F20" s="107"/>
      <c r="G20" s="107"/>
      <c r="H20" s="107"/>
      <c r="I20" s="107"/>
      <c r="J20" s="107"/>
      <c r="K20" s="107"/>
      <c r="L20" s="996"/>
      <c r="M20" s="929"/>
      <c r="N20" s="962"/>
      <c r="O20" s="965"/>
      <c r="P20" s="968" t="str">
        <f t="shared" si="0"/>
        <v/>
      </c>
      <c r="Q20" s="943"/>
      <c r="R20" s="914"/>
      <c r="S20" s="107"/>
      <c r="T20" s="107"/>
      <c r="U20" s="107"/>
      <c r="V20" s="107"/>
      <c r="W20" s="107"/>
      <c r="X20" s="107"/>
      <c r="Y20" s="971"/>
      <c r="Z20" s="929"/>
      <c r="AA20" s="993" t="str">
        <f>IF(OR(ISERROR(Calculations!AF10),Calculations!M10=""),"",Calculations!AF10)</f>
        <v/>
      </c>
      <c r="AB20" s="978" t="str">
        <f>IF(OR(H20="",R20="",S20="",P20="",$AA$12="*Please enter a Building Type*"),"",Calculations!BA10)</f>
        <v/>
      </c>
      <c r="AC20" s="79" t="str">
        <f t="shared" si="2"/>
        <v/>
      </c>
      <c r="AD20" s="79" t="str">
        <f t="shared" si="1"/>
        <v/>
      </c>
      <c r="AE20" s="262"/>
    </row>
    <row r="21" spans="1:31" ht="20.100000000000001" customHeight="1" x14ac:dyDescent="0.3">
      <c r="A21" s="3">
        <v>6</v>
      </c>
      <c r="B21" s="914"/>
      <c r="C21" s="107"/>
      <c r="D21" s="107"/>
      <c r="E21" s="107"/>
      <c r="F21" s="107"/>
      <c r="G21" s="107"/>
      <c r="H21" s="107"/>
      <c r="I21" s="107"/>
      <c r="J21" s="107"/>
      <c r="K21" s="107"/>
      <c r="L21" s="996"/>
      <c r="M21" s="929"/>
      <c r="N21" s="962"/>
      <c r="O21" s="965"/>
      <c r="P21" s="968" t="str">
        <f t="shared" si="0"/>
        <v/>
      </c>
      <c r="Q21" s="943"/>
      <c r="R21" s="914"/>
      <c r="S21" s="107"/>
      <c r="T21" s="107"/>
      <c r="U21" s="107"/>
      <c r="V21" s="107"/>
      <c r="W21" s="107"/>
      <c r="X21" s="107"/>
      <c r="Y21" s="971"/>
      <c r="Z21" s="929"/>
      <c r="AA21" s="993" t="str">
        <f>IF(OR(ISERROR(Calculations!AF11),Calculations!M11=""),"",Calculations!AF11)</f>
        <v/>
      </c>
      <c r="AB21" s="978" t="str">
        <f>IF(OR(H21="",R21="",S21="",P21="",$AA$12="*Please enter a Building Type*"),"",Calculations!BA11)</f>
        <v/>
      </c>
      <c r="AC21" s="79" t="str">
        <f t="shared" si="2"/>
        <v/>
      </c>
      <c r="AD21" s="79" t="str">
        <f t="shared" si="1"/>
        <v/>
      </c>
      <c r="AE21" s="262"/>
    </row>
    <row r="22" spans="1:31" ht="20.100000000000001" customHeight="1" x14ac:dyDescent="0.3">
      <c r="A22" s="3">
        <v>7</v>
      </c>
      <c r="B22" s="914"/>
      <c r="C22" s="107"/>
      <c r="D22" s="107"/>
      <c r="E22" s="107"/>
      <c r="F22" s="107"/>
      <c r="G22" s="107"/>
      <c r="H22" s="107"/>
      <c r="I22" s="107"/>
      <c r="J22" s="107"/>
      <c r="K22" s="107"/>
      <c r="L22" s="996"/>
      <c r="M22" s="929"/>
      <c r="N22" s="962"/>
      <c r="O22" s="965"/>
      <c r="P22" s="968" t="str">
        <f t="shared" si="0"/>
        <v/>
      </c>
      <c r="Q22" s="943"/>
      <c r="R22" s="914"/>
      <c r="S22" s="107"/>
      <c r="T22" s="107"/>
      <c r="U22" s="107"/>
      <c r="V22" s="107"/>
      <c r="W22" s="107"/>
      <c r="X22" s="107"/>
      <c r="Y22" s="971"/>
      <c r="Z22" s="929"/>
      <c r="AA22" s="993" t="str">
        <f>IF(OR(ISERROR(Calculations!AF12),Calculations!M12=""),"",Calculations!AF12)</f>
        <v/>
      </c>
      <c r="AB22" s="978" t="str">
        <f>IF(OR(H22="",R22="",S22="",P22="",$AA$12="*Please enter a Building Type*"),"",Calculations!BA12)</f>
        <v/>
      </c>
      <c r="AC22" s="79" t="str">
        <f t="shared" si="2"/>
        <v/>
      </c>
      <c r="AD22" s="79" t="str">
        <f t="shared" si="1"/>
        <v/>
      </c>
      <c r="AE22" s="262"/>
    </row>
    <row r="23" spans="1:31" ht="20.100000000000001" customHeight="1" x14ac:dyDescent="0.3">
      <c r="A23" s="3">
        <v>8</v>
      </c>
      <c r="B23" s="914"/>
      <c r="C23" s="107"/>
      <c r="D23" s="107"/>
      <c r="E23" s="107"/>
      <c r="F23" s="107"/>
      <c r="G23" s="107"/>
      <c r="H23" s="107"/>
      <c r="I23" s="107"/>
      <c r="J23" s="107"/>
      <c r="K23" s="107"/>
      <c r="L23" s="996"/>
      <c r="M23" s="929"/>
      <c r="N23" s="962"/>
      <c r="O23" s="965"/>
      <c r="P23" s="968" t="str">
        <f t="shared" si="0"/>
        <v/>
      </c>
      <c r="Q23" s="943"/>
      <c r="R23" s="914"/>
      <c r="S23" s="107"/>
      <c r="T23" s="107"/>
      <c r="U23" s="107"/>
      <c r="V23" s="107"/>
      <c r="W23" s="107"/>
      <c r="X23" s="107"/>
      <c r="Y23" s="971"/>
      <c r="Z23" s="929"/>
      <c r="AA23" s="993" t="str">
        <f>IF(OR(ISERROR(Calculations!AF13),Calculations!M13=""),"",Calculations!AF13)</f>
        <v/>
      </c>
      <c r="AB23" s="978" t="str">
        <f>IF(OR(H23="",R23="",S23="",P23="",$AA$12="*Please enter a Building Type*"),"",Calculations!BA13)</f>
        <v/>
      </c>
      <c r="AC23" s="79" t="str">
        <f t="shared" si="2"/>
        <v/>
      </c>
      <c r="AD23" s="79" t="str">
        <f t="shared" si="1"/>
        <v/>
      </c>
      <c r="AE23" s="262"/>
    </row>
    <row r="24" spans="1:31" ht="20.100000000000001" customHeight="1" x14ac:dyDescent="0.3">
      <c r="A24" s="3">
        <v>9</v>
      </c>
      <c r="B24" s="914"/>
      <c r="C24" s="107"/>
      <c r="D24" s="107"/>
      <c r="E24" s="107"/>
      <c r="F24" s="107"/>
      <c r="G24" s="107"/>
      <c r="H24" s="107"/>
      <c r="I24" s="107"/>
      <c r="J24" s="107"/>
      <c r="K24" s="107"/>
      <c r="L24" s="996"/>
      <c r="M24" s="929"/>
      <c r="N24" s="962"/>
      <c r="O24" s="965"/>
      <c r="P24" s="968" t="str">
        <f t="shared" si="0"/>
        <v/>
      </c>
      <c r="Q24" s="943"/>
      <c r="R24" s="914"/>
      <c r="S24" s="107"/>
      <c r="T24" s="107"/>
      <c r="U24" s="107"/>
      <c r="V24" s="107"/>
      <c r="W24" s="107"/>
      <c r="X24" s="107"/>
      <c r="Y24" s="971"/>
      <c r="Z24" s="929"/>
      <c r="AA24" s="993" t="str">
        <f>IF(OR(ISERROR(Calculations!AF14),Calculations!M14=""),"",Calculations!AF14)</f>
        <v/>
      </c>
      <c r="AB24" s="978" t="str">
        <f>IF(OR(H24="",R24="",S24="",P24="",$AA$12="*Please enter a Building Type*"),"",Calculations!BA14)</f>
        <v/>
      </c>
      <c r="AC24" s="79" t="str">
        <f t="shared" si="2"/>
        <v/>
      </c>
      <c r="AD24" s="79" t="str">
        <f t="shared" si="1"/>
        <v/>
      </c>
      <c r="AE24" s="262"/>
    </row>
    <row r="25" spans="1:31" ht="20.100000000000001" customHeight="1" x14ac:dyDescent="0.3">
      <c r="A25" s="3">
        <v>10</v>
      </c>
      <c r="B25" s="914"/>
      <c r="C25" s="107"/>
      <c r="D25" s="107"/>
      <c r="E25" s="107"/>
      <c r="F25" s="107"/>
      <c r="G25" s="107"/>
      <c r="H25" s="107"/>
      <c r="I25" s="107"/>
      <c r="J25" s="107"/>
      <c r="K25" s="107"/>
      <c r="L25" s="996"/>
      <c r="M25" s="929"/>
      <c r="N25" s="962"/>
      <c r="O25" s="965"/>
      <c r="P25" s="968" t="str">
        <f t="shared" si="0"/>
        <v/>
      </c>
      <c r="Q25" s="943"/>
      <c r="R25" s="914"/>
      <c r="S25" s="107"/>
      <c r="T25" s="107"/>
      <c r="U25" s="107"/>
      <c r="V25" s="107"/>
      <c r="W25" s="107"/>
      <c r="X25" s="107"/>
      <c r="Y25" s="971"/>
      <c r="Z25" s="929"/>
      <c r="AA25" s="993" t="str">
        <f>IF(OR(ISERROR(Calculations!AF15),Calculations!M15=""),"",Calculations!AF15)</f>
        <v/>
      </c>
      <c r="AB25" s="978" t="str">
        <f>IF(OR(H25="",R25="",S25="",P25="",$AA$12="*Please enter a Building Type*"),"",Calculations!BA15)</f>
        <v/>
      </c>
      <c r="AC25" s="79" t="str">
        <f t="shared" si="2"/>
        <v/>
      </c>
      <c r="AD25" s="79" t="str">
        <f t="shared" si="1"/>
        <v/>
      </c>
      <c r="AE25" s="262"/>
    </row>
    <row r="26" spans="1:31" ht="20.100000000000001" customHeight="1" x14ac:dyDescent="0.3">
      <c r="A26" s="3">
        <v>11</v>
      </c>
      <c r="B26" s="914"/>
      <c r="C26" s="107"/>
      <c r="D26" s="107"/>
      <c r="E26" s="107"/>
      <c r="F26" s="107"/>
      <c r="G26" s="107"/>
      <c r="H26" s="107"/>
      <c r="I26" s="107"/>
      <c r="J26" s="107"/>
      <c r="K26" s="107"/>
      <c r="L26" s="996"/>
      <c r="M26" s="929"/>
      <c r="N26" s="962"/>
      <c r="O26" s="965"/>
      <c r="P26" s="968" t="str">
        <f t="shared" si="0"/>
        <v/>
      </c>
      <c r="Q26" s="943"/>
      <c r="R26" s="914"/>
      <c r="S26" s="107"/>
      <c r="T26" s="107"/>
      <c r="U26" s="107"/>
      <c r="V26" s="107"/>
      <c r="W26" s="107"/>
      <c r="X26" s="107"/>
      <c r="Y26" s="971"/>
      <c r="Z26" s="929"/>
      <c r="AA26" s="993" t="str">
        <f>IF(OR(ISERROR(Calculations!AF16),Calculations!M16=""),"",Calculations!AF16)</f>
        <v/>
      </c>
      <c r="AB26" s="978" t="str">
        <f>IF(OR(H26="",R26="",S26="",P26="",$AA$12="*Please enter a Building Type*"),"",Calculations!BA16)</f>
        <v/>
      </c>
      <c r="AC26" s="79" t="str">
        <f t="shared" si="2"/>
        <v/>
      </c>
      <c r="AD26" s="79" t="str">
        <f t="shared" si="1"/>
        <v/>
      </c>
      <c r="AE26" s="262"/>
    </row>
    <row r="27" spans="1:31" ht="20.100000000000001" customHeight="1" x14ac:dyDescent="0.3">
      <c r="A27" s="3">
        <v>12</v>
      </c>
      <c r="B27" s="914"/>
      <c r="C27" s="107"/>
      <c r="D27" s="107"/>
      <c r="E27" s="107"/>
      <c r="F27" s="107"/>
      <c r="G27" s="107"/>
      <c r="H27" s="107"/>
      <c r="I27" s="107"/>
      <c r="J27" s="107"/>
      <c r="K27" s="107"/>
      <c r="L27" s="996"/>
      <c r="M27" s="929"/>
      <c r="N27" s="962"/>
      <c r="O27" s="965"/>
      <c r="P27" s="968" t="str">
        <f t="shared" si="0"/>
        <v/>
      </c>
      <c r="Q27" s="943"/>
      <c r="R27" s="914"/>
      <c r="S27" s="107"/>
      <c r="T27" s="107"/>
      <c r="U27" s="107"/>
      <c r="V27" s="107"/>
      <c r="W27" s="107"/>
      <c r="X27" s="107"/>
      <c r="Y27" s="971"/>
      <c r="Z27" s="929"/>
      <c r="AA27" s="993" t="str">
        <f>IF(OR(ISERROR(Calculations!AF17),Calculations!M17=""),"",Calculations!AF17)</f>
        <v/>
      </c>
      <c r="AB27" s="978" t="str">
        <f>IF(OR(H27="",R27="",S27="",P27="",$AA$12="*Please enter a Building Type*"),"",Calculations!BA17)</f>
        <v/>
      </c>
      <c r="AC27" s="79" t="str">
        <f t="shared" si="2"/>
        <v/>
      </c>
      <c r="AD27" s="79" t="str">
        <f t="shared" si="1"/>
        <v/>
      </c>
      <c r="AE27" s="262"/>
    </row>
    <row r="28" spans="1:31" ht="20.100000000000001" customHeight="1" x14ac:dyDescent="0.3">
      <c r="A28" s="3">
        <v>13</v>
      </c>
      <c r="B28" s="914"/>
      <c r="C28" s="107"/>
      <c r="D28" s="107"/>
      <c r="E28" s="107"/>
      <c r="F28" s="107"/>
      <c r="G28" s="107"/>
      <c r="H28" s="107"/>
      <c r="I28" s="107"/>
      <c r="J28" s="107"/>
      <c r="K28" s="107"/>
      <c r="L28" s="996"/>
      <c r="M28" s="929"/>
      <c r="N28" s="962"/>
      <c r="O28" s="965"/>
      <c r="P28" s="968" t="str">
        <f t="shared" si="0"/>
        <v/>
      </c>
      <c r="Q28" s="943"/>
      <c r="R28" s="914"/>
      <c r="S28" s="107"/>
      <c r="T28" s="107"/>
      <c r="U28" s="107"/>
      <c r="V28" s="107"/>
      <c r="W28" s="107"/>
      <c r="X28" s="107"/>
      <c r="Y28" s="971"/>
      <c r="Z28" s="929"/>
      <c r="AA28" s="993" t="str">
        <f>IF(OR(ISERROR(Calculations!AF18),Calculations!M18=""),"",Calculations!AF18)</f>
        <v/>
      </c>
      <c r="AB28" s="978" t="str">
        <f>IF(OR(H28="",R28="",S28="",P28="",$AA$12="*Please enter a Building Type*"),"",Calculations!BA18)</f>
        <v/>
      </c>
      <c r="AC28" s="79" t="str">
        <f t="shared" si="2"/>
        <v/>
      </c>
      <c r="AD28" s="79" t="str">
        <f t="shared" si="1"/>
        <v/>
      </c>
      <c r="AE28" s="262"/>
    </row>
    <row r="29" spans="1:31" ht="20.100000000000001" customHeight="1" x14ac:dyDescent="0.3">
      <c r="A29" s="3">
        <v>14</v>
      </c>
      <c r="B29" s="914"/>
      <c r="C29" s="107"/>
      <c r="D29" s="107"/>
      <c r="E29" s="107"/>
      <c r="F29" s="107"/>
      <c r="G29" s="107"/>
      <c r="H29" s="107"/>
      <c r="I29" s="107"/>
      <c r="J29" s="107"/>
      <c r="K29" s="107"/>
      <c r="L29" s="996"/>
      <c r="M29" s="929"/>
      <c r="N29" s="962"/>
      <c r="O29" s="965"/>
      <c r="P29" s="968" t="str">
        <f t="shared" si="0"/>
        <v/>
      </c>
      <c r="Q29" s="943"/>
      <c r="R29" s="914"/>
      <c r="S29" s="107"/>
      <c r="T29" s="107"/>
      <c r="U29" s="107"/>
      <c r="V29" s="107"/>
      <c r="W29" s="107"/>
      <c r="X29" s="107"/>
      <c r="Y29" s="971"/>
      <c r="Z29" s="929"/>
      <c r="AA29" s="993" t="str">
        <f>IF(OR(ISERROR(Calculations!AF19),Calculations!M19=""),"",Calculations!AF19)</f>
        <v/>
      </c>
      <c r="AB29" s="978" t="str">
        <f>IF(OR(H29="",R29="",S29="",P29="",$AA$12="*Please enter a Building Type*"),"",Calculations!BA19)</f>
        <v/>
      </c>
      <c r="AC29" s="79" t="str">
        <f t="shared" si="2"/>
        <v/>
      </c>
      <c r="AD29" s="79" t="str">
        <f t="shared" si="1"/>
        <v/>
      </c>
      <c r="AE29" s="262"/>
    </row>
    <row r="30" spans="1:31" ht="20.100000000000001" customHeight="1" x14ac:dyDescent="0.3">
      <c r="A30" s="3">
        <v>15</v>
      </c>
      <c r="B30" s="914"/>
      <c r="C30" s="107"/>
      <c r="D30" s="107"/>
      <c r="E30" s="107"/>
      <c r="F30" s="107"/>
      <c r="G30" s="107"/>
      <c r="H30" s="107"/>
      <c r="I30" s="107"/>
      <c r="J30" s="107"/>
      <c r="K30" s="107"/>
      <c r="L30" s="996"/>
      <c r="M30" s="929"/>
      <c r="N30" s="962"/>
      <c r="O30" s="965"/>
      <c r="P30" s="968" t="str">
        <f t="shared" si="0"/>
        <v/>
      </c>
      <c r="Q30" s="943"/>
      <c r="R30" s="914"/>
      <c r="S30" s="107"/>
      <c r="T30" s="107"/>
      <c r="U30" s="107"/>
      <c r="V30" s="107"/>
      <c r="W30" s="107"/>
      <c r="X30" s="107"/>
      <c r="Y30" s="971"/>
      <c r="Z30" s="929"/>
      <c r="AA30" s="993" t="str">
        <f>IF(OR(ISERROR(Calculations!AF20),Calculations!M20=""),"",Calculations!AF20)</f>
        <v/>
      </c>
      <c r="AB30" s="978" t="str">
        <f>IF(OR(H30="",R30="",S30="",P30="",$AA$12="*Please enter a Building Type*"),"",Calculations!BA20)</f>
        <v/>
      </c>
      <c r="AC30" s="79" t="str">
        <f t="shared" si="2"/>
        <v/>
      </c>
      <c r="AD30" s="79" t="str">
        <f t="shared" si="1"/>
        <v/>
      </c>
      <c r="AE30" s="262"/>
    </row>
    <row r="31" spans="1:31" ht="20.100000000000001" customHeight="1" x14ac:dyDescent="0.3">
      <c r="A31" s="3">
        <v>16</v>
      </c>
      <c r="B31" s="914"/>
      <c r="C31" s="107"/>
      <c r="D31" s="107"/>
      <c r="E31" s="107"/>
      <c r="F31" s="107"/>
      <c r="G31" s="107"/>
      <c r="H31" s="107"/>
      <c r="I31" s="107"/>
      <c r="J31" s="107"/>
      <c r="K31" s="107"/>
      <c r="L31" s="996"/>
      <c r="M31" s="929"/>
      <c r="N31" s="962"/>
      <c r="O31" s="965"/>
      <c r="P31" s="968" t="str">
        <f t="shared" si="0"/>
        <v/>
      </c>
      <c r="Q31" s="943"/>
      <c r="R31" s="914"/>
      <c r="S31" s="107"/>
      <c r="T31" s="107"/>
      <c r="U31" s="107"/>
      <c r="V31" s="107"/>
      <c r="W31" s="107"/>
      <c r="X31" s="107"/>
      <c r="Y31" s="971"/>
      <c r="Z31" s="929"/>
      <c r="AA31" s="993" t="str">
        <f>IF(OR(ISERROR(Calculations!AF21),Calculations!M21=""),"",Calculations!AF21)</f>
        <v/>
      </c>
      <c r="AB31" s="978" t="str">
        <f>IF(OR(H31="",R31="",S31="",P31="",$AA$12="*Please enter a Building Type*"),"",Calculations!BA21)</f>
        <v/>
      </c>
      <c r="AC31" s="79" t="str">
        <f t="shared" si="2"/>
        <v/>
      </c>
      <c r="AD31" s="79" t="str">
        <f t="shared" si="1"/>
        <v/>
      </c>
      <c r="AE31" s="262"/>
    </row>
    <row r="32" spans="1:31" ht="20.100000000000001" customHeight="1" x14ac:dyDescent="0.3">
      <c r="A32" s="3">
        <v>17</v>
      </c>
      <c r="B32" s="914"/>
      <c r="C32" s="107"/>
      <c r="D32" s="107"/>
      <c r="E32" s="107"/>
      <c r="F32" s="107"/>
      <c r="G32" s="107"/>
      <c r="H32" s="107"/>
      <c r="I32" s="107"/>
      <c r="J32" s="107"/>
      <c r="K32" s="107"/>
      <c r="L32" s="996"/>
      <c r="M32" s="929"/>
      <c r="N32" s="962"/>
      <c r="O32" s="965"/>
      <c r="P32" s="968" t="str">
        <f t="shared" si="0"/>
        <v/>
      </c>
      <c r="Q32" s="943"/>
      <c r="R32" s="914"/>
      <c r="S32" s="107"/>
      <c r="T32" s="107"/>
      <c r="U32" s="107"/>
      <c r="V32" s="107"/>
      <c r="W32" s="107"/>
      <c r="X32" s="107"/>
      <c r="Y32" s="971"/>
      <c r="Z32" s="929"/>
      <c r="AA32" s="993" t="str">
        <f>IF(OR(ISERROR(Calculations!AF22),Calculations!M22=""),"",Calculations!AF22)</f>
        <v/>
      </c>
      <c r="AB32" s="978" t="str">
        <f>IF(OR(H32="",R32="",S32="",P32="",$AA$12="*Please enter a Building Type*"),"",Calculations!BA22)</f>
        <v/>
      </c>
      <c r="AC32" s="79" t="str">
        <f t="shared" si="2"/>
        <v/>
      </c>
      <c r="AD32" s="79" t="str">
        <f t="shared" si="1"/>
        <v/>
      </c>
      <c r="AE32" s="262"/>
    </row>
    <row r="33" spans="1:31" ht="20.100000000000001" customHeight="1" x14ac:dyDescent="0.3">
      <c r="A33" s="3">
        <v>18</v>
      </c>
      <c r="B33" s="914"/>
      <c r="C33" s="107"/>
      <c r="D33" s="107"/>
      <c r="E33" s="107"/>
      <c r="F33" s="107"/>
      <c r="G33" s="107"/>
      <c r="H33" s="107"/>
      <c r="I33" s="107"/>
      <c r="J33" s="107"/>
      <c r="K33" s="107"/>
      <c r="L33" s="996"/>
      <c r="M33" s="929"/>
      <c r="N33" s="962"/>
      <c r="O33" s="965"/>
      <c r="P33" s="968" t="str">
        <f t="shared" si="0"/>
        <v/>
      </c>
      <c r="Q33" s="943"/>
      <c r="R33" s="914"/>
      <c r="S33" s="107"/>
      <c r="T33" s="107"/>
      <c r="U33" s="107"/>
      <c r="V33" s="107"/>
      <c r="W33" s="107"/>
      <c r="X33" s="107"/>
      <c r="Y33" s="971"/>
      <c r="Z33" s="929"/>
      <c r="AA33" s="993" t="str">
        <f>IF(OR(ISERROR(Calculations!AF23),Calculations!M23=""),"",Calculations!AF23)</f>
        <v/>
      </c>
      <c r="AB33" s="978" t="str">
        <f>IF(OR(H33="",R33="",S33="",P33="",$AA$12="*Please enter a Building Type*"),"",Calculations!BA23)</f>
        <v/>
      </c>
      <c r="AC33" s="79" t="str">
        <f t="shared" si="2"/>
        <v/>
      </c>
      <c r="AD33" s="79" t="str">
        <f t="shared" si="1"/>
        <v/>
      </c>
      <c r="AE33" s="262"/>
    </row>
    <row r="34" spans="1:31" ht="20.100000000000001" customHeight="1" x14ac:dyDescent="0.3">
      <c r="A34" s="3">
        <v>19</v>
      </c>
      <c r="B34" s="914"/>
      <c r="C34" s="107"/>
      <c r="D34" s="107"/>
      <c r="E34" s="107"/>
      <c r="F34" s="107"/>
      <c r="G34" s="107"/>
      <c r="H34" s="107"/>
      <c r="I34" s="107"/>
      <c r="J34" s="107"/>
      <c r="K34" s="107"/>
      <c r="L34" s="996"/>
      <c r="M34" s="929"/>
      <c r="N34" s="962"/>
      <c r="O34" s="965"/>
      <c r="P34" s="968" t="str">
        <f t="shared" si="0"/>
        <v/>
      </c>
      <c r="Q34" s="943"/>
      <c r="R34" s="914"/>
      <c r="S34" s="107"/>
      <c r="T34" s="107"/>
      <c r="U34" s="107"/>
      <c r="V34" s="107"/>
      <c r="W34" s="107"/>
      <c r="X34" s="107"/>
      <c r="Y34" s="971"/>
      <c r="Z34" s="929"/>
      <c r="AA34" s="993" t="str">
        <f>IF(OR(ISERROR(Calculations!AF24),Calculations!M24=""),"",Calculations!AF24)</f>
        <v/>
      </c>
      <c r="AB34" s="978" t="str">
        <f>IF(OR(H34="",R34="",S34="",P34="",$AA$12="*Please enter a Building Type*"),"",Calculations!BA24)</f>
        <v/>
      </c>
      <c r="AC34" s="79" t="str">
        <f t="shared" si="2"/>
        <v/>
      </c>
      <c r="AD34" s="79" t="str">
        <f t="shared" si="1"/>
        <v/>
      </c>
      <c r="AE34" s="262"/>
    </row>
    <row r="35" spans="1:31" ht="20.100000000000001" customHeight="1" x14ac:dyDescent="0.3">
      <c r="A35" s="3">
        <v>20</v>
      </c>
      <c r="B35" s="914"/>
      <c r="C35" s="107"/>
      <c r="D35" s="107"/>
      <c r="E35" s="107"/>
      <c r="F35" s="107"/>
      <c r="G35" s="107"/>
      <c r="H35" s="107"/>
      <c r="I35" s="107"/>
      <c r="J35" s="107"/>
      <c r="K35" s="107"/>
      <c r="L35" s="996"/>
      <c r="M35" s="929"/>
      <c r="N35" s="962"/>
      <c r="O35" s="965"/>
      <c r="P35" s="968" t="str">
        <f t="shared" si="0"/>
        <v/>
      </c>
      <c r="Q35" s="943"/>
      <c r="R35" s="914"/>
      <c r="S35" s="107"/>
      <c r="T35" s="107"/>
      <c r="U35" s="107"/>
      <c r="V35" s="107"/>
      <c r="W35" s="107"/>
      <c r="X35" s="107"/>
      <c r="Y35" s="971"/>
      <c r="Z35" s="929"/>
      <c r="AA35" s="993" t="str">
        <f>IF(OR(ISERROR(Calculations!AF25),Calculations!M25=""),"",Calculations!AF25)</f>
        <v/>
      </c>
      <c r="AB35" s="978" t="str">
        <f>IF(OR(H35="",R35="",S35="",P35="",$AA$12="*Please enter a Building Type*"),"",Calculations!BA25)</f>
        <v/>
      </c>
      <c r="AC35" s="79" t="str">
        <f t="shared" si="2"/>
        <v/>
      </c>
      <c r="AD35" s="79" t="str">
        <f t="shared" si="1"/>
        <v/>
      </c>
      <c r="AE35" s="262"/>
    </row>
    <row r="36" spans="1:31" ht="20.100000000000001" customHeight="1" x14ac:dyDescent="0.3">
      <c r="A36" s="3">
        <v>21</v>
      </c>
      <c r="B36" s="914"/>
      <c r="C36" s="107"/>
      <c r="D36" s="107"/>
      <c r="E36" s="107"/>
      <c r="F36" s="107"/>
      <c r="G36" s="107"/>
      <c r="H36" s="107"/>
      <c r="I36" s="107"/>
      <c r="J36" s="107"/>
      <c r="K36" s="107"/>
      <c r="L36" s="996"/>
      <c r="M36" s="929"/>
      <c r="N36" s="962"/>
      <c r="O36" s="965"/>
      <c r="P36" s="968" t="str">
        <f t="shared" si="0"/>
        <v/>
      </c>
      <c r="Q36" s="943"/>
      <c r="R36" s="914"/>
      <c r="S36" s="107"/>
      <c r="T36" s="107"/>
      <c r="U36" s="107"/>
      <c r="V36" s="107"/>
      <c r="W36" s="107"/>
      <c r="X36" s="107"/>
      <c r="Y36" s="971"/>
      <c r="Z36" s="929"/>
      <c r="AA36" s="993" t="str">
        <f>IF(OR(ISERROR(Calculations!AF26),Calculations!M26=""),"",Calculations!AF26)</f>
        <v/>
      </c>
      <c r="AB36" s="978" t="str">
        <f>IF(OR(H36="",R36="",S36="",P36="",$AA$12="*Please enter a Building Type*"),"",Calculations!BA26)</f>
        <v/>
      </c>
      <c r="AC36" s="79" t="str">
        <f t="shared" si="2"/>
        <v/>
      </c>
      <c r="AD36" s="79" t="str">
        <f t="shared" si="1"/>
        <v/>
      </c>
      <c r="AE36" s="262"/>
    </row>
    <row r="37" spans="1:31" ht="20.100000000000001" customHeight="1" x14ac:dyDescent="0.3">
      <c r="A37" s="3">
        <v>22</v>
      </c>
      <c r="B37" s="914"/>
      <c r="C37" s="107"/>
      <c r="D37" s="107"/>
      <c r="E37" s="107"/>
      <c r="F37" s="107"/>
      <c r="G37" s="107"/>
      <c r="H37" s="107"/>
      <c r="I37" s="107"/>
      <c r="J37" s="107"/>
      <c r="K37" s="107"/>
      <c r="L37" s="996"/>
      <c r="M37" s="929"/>
      <c r="N37" s="962"/>
      <c r="O37" s="965"/>
      <c r="P37" s="968" t="str">
        <f t="shared" si="0"/>
        <v/>
      </c>
      <c r="Q37" s="943"/>
      <c r="R37" s="914"/>
      <c r="S37" s="107"/>
      <c r="T37" s="107"/>
      <c r="U37" s="107"/>
      <c r="V37" s="107"/>
      <c r="W37" s="107"/>
      <c r="X37" s="107"/>
      <c r="Y37" s="971"/>
      <c r="Z37" s="929"/>
      <c r="AA37" s="993" t="str">
        <f>IF(OR(ISERROR(Calculations!AF27),Calculations!M27=""),"",Calculations!AF27)</f>
        <v/>
      </c>
      <c r="AB37" s="978" t="str">
        <f>IF(OR(H37="",R37="",S37="",P37="",$AA$12="*Please enter a Building Type*"),"",Calculations!BA27)</f>
        <v/>
      </c>
      <c r="AC37" s="79" t="str">
        <f t="shared" si="2"/>
        <v/>
      </c>
      <c r="AD37" s="79" t="str">
        <f t="shared" si="1"/>
        <v/>
      </c>
      <c r="AE37" s="262"/>
    </row>
    <row r="38" spans="1:31" ht="20.100000000000001" customHeight="1" x14ac:dyDescent="0.3">
      <c r="A38" s="3">
        <v>23</v>
      </c>
      <c r="B38" s="914"/>
      <c r="C38" s="107"/>
      <c r="D38" s="107"/>
      <c r="E38" s="107"/>
      <c r="F38" s="107"/>
      <c r="G38" s="107"/>
      <c r="H38" s="107"/>
      <c r="I38" s="107"/>
      <c r="J38" s="107"/>
      <c r="K38" s="107"/>
      <c r="L38" s="996"/>
      <c r="M38" s="929"/>
      <c r="N38" s="962"/>
      <c r="O38" s="965"/>
      <c r="P38" s="968" t="str">
        <f t="shared" si="0"/>
        <v/>
      </c>
      <c r="Q38" s="943"/>
      <c r="R38" s="914"/>
      <c r="S38" s="107"/>
      <c r="T38" s="107"/>
      <c r="U38" s="107"/>
      <c r="V38" s="107"/>
      <c r="W38" s="107"/>
      <c r="X38" s="107"/>
      <c r="Y38" s="971"/>
      <c r="Z38" s="929"/>
      <c r="AA38" s="993" t="str">
        <f>IF(OR(ISERROR(Calculations!AF28),Calculations!M28=""),"",Calculations!AF28)</f>
        <v/>
      </c>
      <c r="AB38" s="978" t="str">
        <f>IF(OR(H38="",R38="",S38="",P38="",$AA$12="*Please enter a Building Type*"),"",Calculations!BA28)</f>
        <v/>
      </c>
      <c r="AC38" s="79" t="str">
        <f t="shared" si="2"/>
        <v/>
      </c>
      <c r="AD38" s="79" t="str">
        <f t="shared" si="1"/>
        <v/>
      </c>
      <c r="AE38" s="262"/>
    </row>
    <row r="39" spans="1:31" ht="20.100000000000001" customHeight="1" x14ac:dyDescent="0.3">
      <c r="A39" s="3">
        <v>24</v>
      </c>
      <c r="B39" s="914"/>
      <c r="C39" s="107"/>
      <c r="D39" s="107"/>
      <c r="E39" s="107"/>
      <c r="F39" s="107"/>
      <c r="G39" s="107"/>
      <c r="H39" s="107"/>
      <c r="I39" s="107"/>
      <c r="J39" s="107"/>
      <c r="K39" s="107"/>
      <c r="L39" s="996"/>
      <c r="M39" s="929"/>
      <c r="N39" s="962"/>
      <c r="O39" s="965"/>
      <c r="P39" s="968" t="str">
        <f t="shared" si="0"/>
        <v/>
      </c>
      <c r="Q39" s="943"/>
      <c r="R39" s="914"/>
      <c r="S39" s="107"/>
      <c r="T39" s="107"/>
      <c r="U39" s="107"/>
      <c r="V39" s="107"/>
      <c r="W39" s="107"/>
      <c r="X39" s="107"/>
      <c r="Y39" s="971"/>
      <c r="Z39" s="929"/>
      <c r="AA39" s="993" t="str">
        <f>IF(OR(ISERROR(Calculations!AF29),Calculations!M29=""),"",Calculations!AF29)</f>
        <v/>
      </c>
      <c r="AB39" s="978" t="str">
        <f>IF(OR(H39="",R39="",S39="",P39="",$AA$12="*Please enter a Building Type*"),"",Calculations!BA29)</f>
        <v/>
      </c>
      <c r="AC39" s="79" t="str">
        <f t="shared" si="2"/>
        <v/>
      </c>
      <c r="AD39" s="79" t="str">
        <f t="shared" si="1"/>
        <v/>
      </c>
      <c r="AE39" s="262"/>
    </row>
    <row r="40" spans="1:31" ht="20.100000000000001" customHeight="1" thickBot="1" x14ac:dyDescent="0.35">
      <c r="A40" s="3">
        <v>25</v>
      </c>
      <c r="B40" s="915"/>
      <c r="C40" s="916"/>
      <c r="D40" s="916"/>
      <c r="E40" s="916"/>
      <c r="F40" s="916"/>
      <c r="G40" s="916"/>
      <c r="H40" s="916"/>
      <c r="I40" s="916"/>
      <c r="J40" s="916"/>
      <c r="K40" s="916"/>
      <c r="L40" s="997"/>
      <c r="M40" s="929"/>
      <c r="N40" s="963"/>
      <c r="O40" s="966"/>
      <c r="P40" s="969" t="str">
        <f t="shared" si="0"/>
        <v/>
      </c>
      <c r="Q40" s="943"/>
      <c r="R40" s="915"/>
      <c r="S40" s="916"/>
      <c r="T40" s="916"/>
      <c r="U40" s="916"/>
      <c r="V40" s="916"/>
      <c r="W40" s="916"/>
      <c r="X40" s="916"/>
      <c r="Y40" s="974"/>
      <c r="Z40" s="929"/>
      <c r="AA40" s="994" t="str">
        <f>IF(OR(ISERROR(Calculations!AF30),Calculations!M30=""),"",Calculations!AF30)</f>
        <v/>
      </c>
      <c r="AB40" s="981" t="str">
        <f>IF(OR(H40="",R40="",S40="",P40="",$AA$12="*Please enter a Building Type*"),"",Calculations!BA30)</f>
        <v/>
      </c>
      <c r="AC40" s="79" t="str">
        <f t="shared" si="2"/>
        <v/>
      </c>
      <c r="AD40" s="79" t="str">
        <f t="shared" si="1"/>
        <v/>
      </c>
      <c r="AE40" s="262"/>
    </row>
    <row r="41" spans="1:31" x14ac:dyDescent="0.3">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row>
    <row r="42" spans="1:31" x14ac:dyDescent="0.3">
      <c r="A42" s="87"/>
      <c r="B42" s="128" t="s">
        <v>426</v>
      </c>
      <c r="C42" s="129" t="str">
        <f>Development!$B$6&amp;"_"&amp;Development!$B$5</f>
        <v>4.1.25_2.0</v>
      </c>
      <c r="D42" s="87"/>
      <c r="E42" s="87"/>
      <c r="F42" s="87"/>
      <c r="G42" s="87"/>
      <c r="H42" s="87"/>
      <c r="I42" s="87"/>
      <c r="J42" s="87"/>
      <c r="K42" s="87"/>
      <c r="L42" s="87"/>
      <c r="M42" s="87"/>
      <c r="N42" s="87"/>
      <c r="O42" s="87"/>
      <c r="P42" s="87"/>
      <c r="Q42" s="87"/>
      <c r="R42" s="87"/>
      <c r="S42" s="87"/>
      <c r="T42" s="87"/>
      <c r="U42" s="87"/>
      <c r="V42" s="87"/>
      <c r="W42" s="87"/>
      <c r="X42" s="87"/>
      <c r="Y42" s="87"/>
      <c r="Z42" s="87"/>
      <c r="AA42" s="88" t="s">
        <v>427</v>
      </c>
      <c r="AB42" s="131" t="str">
        <f>Development!B6</f>
        <v>4.1.25</v>
      </c>
    </row>
  </sheetData>
  <sheetProtection algorithmName="SHA-512" hashValue="zr6+5Fk6m1dD17wvs9sge0j5kmVpuyXTTHDRRIM3uXPQHIgHftafoTKL4+zdoazCDxOaYORNLiJSVB3cgIaTBg==" saltValue="vNUh/JwEqaL5vvZhMLG75A==" spinCount="100000" sheet="1" objects="1" scenarios="1"/>
  <dataConsolidate link="1"/>
  <customSheetViews>
    <customSheetView guid="{BE55F258-44BC-4FB6-88BE-39351DF10384}" scale="73" showGridLines="0" fitToPage="1" hiddenRows="1" hiddenColumns="1">
      <selection activeCell="F32" sqref="F32"/>
      <pageMargins left="0.7" right="0.7" top="0.75" bottom="0.75" header="0.3" footer="0.3"/>
      <pageSetup paperSize="5" scale="76" fitToHeight="3" orientation="landscape" r:id="rId1"/>
    </customSheetView>
  </customSheetViews>
  <mergeCells count="18">
    <mergeCell ref="AA4:AB5"/>
    <mergeCell ref="B1:G1"/>
    <mergeCell ref="B2:G2"/>
    <mergeCell ref="N13:P13"/>
    <mergeCell ref="F7:G7"/>
    <mergeCell ref="F6:G6"/>
    <mergeCell ref="AA13:AB13"/>
    <mergeCell ref="F8:G8"/>
    <mergeCell ref="F9:G9"/>
    <mergeCell ref="F10:G10"/>
    <mergeCell ref="B13:L13"/>
    <mergeCell ref="C8:D8"/>
    <mergeCell ref="C11:D11"/>
    <mergeCell ref="C9:D9"/>
    <mergeCell ref="R13:Y13"/>
    <mergeCell ref="C10:D10"/>
    <mergeCell ref="C6:D6"/>
    <mergeCell ref="C7:D7"/>
  </mergeCells>
  <phoneticPr fontId="88" type="noConversion"/>
  <conditionalFormatting sqref="Y16:Y40">
    <cfRule type="expression" dxfId="22" priority="12" stopIfTrue="1">
      <formula>AND($S16&lt;&gt;"Electric",$S16&lt;&gt;"None")</formula>
    </cfRule>
    <cfRule type="expression" dxfId="21" priority="16" stopIfTrue="1">
      <formula>#REF!=""</formula>
    </cfRule>
  </conditionalFormatting>
  <conditionalFormatting sqref="AA4 AC4:AC5">
    <cfRule type="expression" dxfId="20" priority="102" stopIfTrue="1">
      <formula>$AD$4="Total Expected Rebate has been capped at 70% of Total Estimated Cost"</formula>
    </cfRule>
  </conditionalFormatting>
  <conditionalFormatting sqref="AA4">
    <cfRule type="expression" dxfId="19" priority="103" stopIfTrue="1">
      <formula>$AE$9="Ineligible"</formula>
    </cfRule>
  </conditionalFormatting>
  <conditionalFormatting sqref="AB16:AB40">
    <cfRule type="expression" dxfId="18" priority="107" stopIfTrue="1">
      <formula>$P16=""</formula>
    </cfRule>
  </conditionalFormatting>
  <dataValidations count="6">
    <dataValidation type="decimal" allowBlank="1" showInputMessage="1" showErrorMessage="1" sqref="J15 V16:V40" xr:uid="{00000000-0002-0000-0600-000001000000}">
      <formula1>0</formula1>
      <formula2>15</formula2>
    </dataValidation>
    <dataValidation type="decimal" allowBlank="1" showInputMessage="1" showErrorMessage="1" sqref="I15:I40 U16:U40" xr:uid="{00000000-0002-0000-0600-000002000000}">
      <formula1>0</formula1>
      <formula2>30</formula2>
    </dataValidation>
    <dataValidation operator="greaterThanOrEqual" allowBlank="1" showInputMessage="1" showErrorMessage="1" sqref="P16:P40 R15:S15 AA15:AA40" xr:uid="{00000000-0002-0000-0600-000004000000}"/>
    <dataValidation type="decimal" operator="greaterThanOrEqual" allowBlank="1" showInputMessage="1" showErrorMessage="1" sqref="K15:O40 Q15:Q40 P15 G15 H15:H40 W15:Z40 T15:V15" xr:uid="{00000000-0002-0000-0600-000005000000}">
      <formula1>0</formula1>
    </dataValidation>
    <dataValidation type="decimal" allowBlank="1" showInputMessage="1" showErrorMessage="1" sqref="J16:J40" xr:uid="{00000000-0002-0000-0600-000006000000}">
      <formula1>0</formula1>
      <formula2>35</formula2>
    </dataValidation>
    <dataValidation allowBlank="1" showInputMessage="1" showErrorMessage="1" error="Please enter a valid Size for the Size Category selected." sqref="G16:G40" xr:uid="{428A2C73-4BC8-4847-89A5-1F58F0F5F0B1}"/>
  </dataValidations>
  <pageMargins left="0.7" right="0.7" top="0.75" bottom="0.75" header="0.3" footer="0.3"/>
  <pageSetup paperSize="5" scale="36"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889" r:id="rId5" name="Group Box 649">
              <controlPr defaultSize="0" autoFill="0" autoPict="0">
                <anchor moveWithCells="1">
                  <from>
                    <xdr:col>17</xdr:col>
                    <xdr:colOff>0</xdr:colOff>
                    <xdr:row>3</xdr:row>
                    <xdr:rowOff>657225</xdr:rowOff>
                  </from>
                  <to>
                    <xdr:col>19</xdr:col>
                    <xdr:colOff>504825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0A84BC57-D117-4ADF-BBA4-CD023668FCEC}">
            <xm:f>IF(OR(Calculations!$AI6=3,Calculations!$AI6=2),TRUE,FALSE)</xm:f>
            <x14:dxf>
              <fill>
                <patternFill>
                  <bgColor theme="0" tint="-0.499984740745262"/>
                </patternFill>
              </fill>
            </x14:dxf>
          </x14:cfRule>
          <xm:sqref>I16:I40 U16:U40</xm:sqref>
        </x14:conditionalFormatting>
        <x14:conditionalFormatting xmlns:xm="http://schemas.microsoft.com/office/excel/2006/main">
          <x14:cfRule type="expression" priority="6" id="{667E87EB-8E63-4D0D-95F4-98AA2533EE41}">
            <xm:f>IF(OR(Calculations!$AI6=3,Calculations!$AI6=1,Calculations!$AI6=2),TRUE,FALSE)</xm:f>
            <x14:dxf>
              <fill>
                <patternFill>
                  <bgColor theme="0" tint="-0.499984740745262"/>
                </patternFill>
              </fill>
            </x14:dxf>
          </x14:cfRule>
          <xm:sqref>K16:K40 W16:W40</xm:sqref>
        </x14:conditionalFormatting>
        <x14:conditionalFormatting xmlns:xm="http://schemas.microsoft.com/office/excel/2006/main">
          <x14:cfRule type="expression" priority="4" id="{AFA9ED62-AF5C-4A89-9E66-9713CE15B576}">
            <xm:f>IF(OR(Calculations!$AI6=1,Calculations!$AI6=2),TRUE,FALSE)</xm:f>
            <x14:dxf>
              <fill>
                <patternFill>
                  <bgColor theme="0" tint="-0.499984740745262"/>
                </patternFill>
              </fill>
            </x14:dxf>
          </x14:cfRule>
          <xm:sqref>L16:L40 X16:X40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C07CEF2-7526-4455-BD73-D2D1687600CF}">
          <x14:formula1>
            <xm:f>'HVAC References'!$B$35:$B$39</xm:f>
          </x14:formula1>
          <xm:sqref>B16:B40</xm:sqref>
        </x14:dataValidation>
        <x14:dataValidation type="list" allowBlank="1" showInputMessage="1" showErrorMessage="1" xr:uid="{2BA808E3-828E-41E9-95A4-9B6B11D89A11}">
          <x14:formula1>
            <xm:f>IF(B16='HVAC References'!$B$35,'HVAC References'!$B$50:$B$51,IF(B16='HVAC References'!$B$36,'HVAC References'!$C$50:$C$51,IF(OR(B16='HVAC References'!$B$37,B16='HVAC References'!$B$38,B16='HVAC References'!$B$39),'HVAC References'!$B$52)))</xm:f>
          </x14:formula1>
          <xm:sqref>D16:D40</xm:sqref>
        </x14:dataValidation>
        <x14:dataValidation type="list" operator="greaterThanOrEqual" allowBlank="1" showInputMessage="1" showErrorMessage="1" xr:uid="{C6227FF0-3ECA-4B59-8775-3B2AEA407767}">
          <x14:formula1>
            <xm:f>'HVAC References'!$F$4:$F$9</xm:f>
          </x14:formula1>
          <xm:sqref>S16:S40</xm:sqref>
        </x14:dataValidation>
        <x14:dataValidation type="list" allowBlank="1" showInputMessage="1" showErrorMessage="1" xr:uid="{54B02AC7-C998-4AED-9C67-81AE7FA4827B}">
          <x14:formula1>
            <xm:f>IF(OR(B16='HVAC References'!$B$35,B16='HVAC References'!$B$36),'HVAC References'!$B$42:$B$45,IF(B16='HVAC References'!$B$37,'HVAC References'!$B$42,IF(OR(B16='HVAC References'!$B$38,B16='HVAC References'!$B$39),'HVAC References'!$C$42:$C$44)))</xm:f>
          </x14:formula1>
          <xm:sqref>C16:C40</xm:sqref>
        </x14:dataValidation>
        <x14:dataValidation type="list" operator="greaterThanOrEqual" allowBlank="1" showInputMessage="1" showErrorMessage="1" xr:uid="{98158D13-566A-442C-BE2C-CF8B87637744}">
          <x14:formula1>
            <xm:f>OFFSET('HVAC References'!$E$35:$V$57,MATCH(Calculations!P6,'HVAC References'!$E$35:$E$57,0)-1,14,1,5)</xm:f>
          </x14:formula1>
          <xm:sqref>R16:R40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CC8C-BA7B-4638-818F-A5D272E8FD44}">
  <sheetPr codeName="Sheet16">
    <tabColor rgb="FF142D42"/>
    <pageSetUpPr fitToPage="1"/>
  </sheetPr>
  <dimension ref="A1:BO52"/>
  <sheetViews>
    <sheetView showGridLines="0" showRuler="0" zoomScaleNormal="100" workbookViewId="0"/>
  </sheetViews>
  <sheetFormatPr defaultColWidth="0" defaultRowHeight="16.5" x14ac:dyDescent="0.3"/>
  <cols>
    <col min="1" max="1" width="3.7109375" style="2" customWidth="1"/>
    <col min="2" max="2" width="38.85546875" style="2" bestFit="1" customWidth="1"/>
    <col min="3" max="3" width="23.5703125" style="2" customWidth="1"/>
    <col min="4" max="5" width="15.42578125" style="2" customWidth="1"/>
    <col min="6" max="6" width="17.5703125" style="2" customWidth="1"/>
    <col min="7" max="7" width="20.42578125" style="2" customWidth="1"/>
    <col min="8" max="8" width="12.140625" style="2" customWidth="1"/>
    <col min="9" max="10" width="10.28515625" style="2" customWidth="1"/>
    <col min="11" max="11" width="2.5703125" style="2" customWidth="1"/>
    <col min="12" max="13" width="12.5703125" style="2" customWidth="1"/>
    <col min="14" max="14" width="2.5703125" style="2" customWidth="1"/>
    <col min="15" max="16" width="11" style="2" customWidth="1"/>
    <col min="17" max="17" width="11.85546875" style="2" customWidth="1"/>
    <col min="18" max="18" width="2.5703125" style="2" customWidth="1"/>
    <col min="19" max="19" width="18.5703125" style="2" customWidth="1"/>
    <col min="20" max="20" width="15" style="2" customWidth="1"/>
    <col min="21" max="21" width="12.140625" style="2" customWidth="1"/>
    <col min="22" max="22" width="15" style="2" customWidth="1"/>
    <col min="23" max="23" width="10.140625" style="2" customWidth="1"/>
    <col min="24" max="25" width="10" style="2" customWidth="1"/>
    <col min="26" max="26" width="8.5703125" style="2" customWidth="1"/>
    <col min="27" max="27" width="2.5703125" style="2" customWidth="1"/>
    <col min="28" max="28" width="31.140625" style="2" customWidth="1"/>
    <col min="29" max="29" width="23.42578125" style="2" customWidth="1"/>
    <col min="30" max="30" width="21" style="2" hidden="1" customWidth="1"/>
    <col min="31" max="31" width="9" style="2" hidden="1" customWidth="1"/>
    <col min="32" max="32" width="11.42578125" style="2" hidden="1" customWidth="1"/>
    <col min="33" max="33" width="16.5703125" style="2" customWidth="1"/>
    <col min="34" max="34" width="16.5703125" style="2" hidden="1" customWidth="1"/>
    <col min="35" max="67" width="0" style="2" hidden="1" customWidth="1"/>
    <col min="68" max="16384" width="16.5703125" style="2" hidden="1"/>
  </cols>
  <sheetData>
    <row r="1" spans="1:61" s="265" customFormat="1" ht="50.1" customHeight="1" x14ac:dyDescent="0.3">
      <c r="A1" s="333"/>
      <c r="B1" s="1189" t="str">
        <f>Development!B4&amp;" "&amp; "Commercial Efficiency Program"</f>
        <v>2025 Commercial Efficiency Program</v>
      </c>
      <c r="C1" s="1189"/>
      <c r="D1" s="1189"/>
      <c r="E1" s="1189"/>
      <c r="F1" s="333"/>
      <c r="G1" s="333"/>
      <c r="H1" s="333"/>
      <c r="I1" s="333"/>
      <c r="J1" s="333"/>
      <c r="K1" s="333"/>
      <c r="L1" s="333"/>
      <c r="M1" s="333"/>
      <c r="N1" s="333"/>
      <c r="O1" s="333"/>
      <c r="P1" s="333"/>
      <c r="Q1" s="333"/>
      <c r="R1" s="333"/>
      <c r="S1" s="333"/>
      <c r="T1" s="333"/>
      <c r="U1" s="333"/>
      <c r="V1" s="333"/>
      <c r="W1" s="333"/>
      <c r="X1" s="3"/>
      <c r="Y1" s="3"/>
      <c r="Z1" s="342"/>
      <c r="AA1" s="342"/>
      <c r="AB1" s="342"/>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row>
    <row r="2" spans="1:61" s="1044" customFormat="1" ht="50.1" customHeight="1" thickBot="1" x14ac:dyDescent="0.35">
      <c r="A2" s="1041"/>
      <c r="B2" s="1145" t="str">
        <f>"     "&amp;" Partial Building Heat Pump Worksheet, Version"&amp;" "&amp;Development!B5</f>
        <v xml:space="preserve">      Partial Building Heat Pump Worksheet, Version 2.0</v>
      </c>
      <c r="C2" s="1145"/>
      <c r="D2" s="1145"/>
      <c r="E2" s="1145"/>
      <c r="F2" s="1041"/>
      <c r="G2" s="1041"/>
      <c r="H2" s="1041"/>
      <c r="I2" s="1041"/>
      <c r="J2" s="1041"/>
      <c r="K2" s="1041"/>
      <c r="L2" s="1041"/>
      <c r="M2" s="1041"/>
      <c r="N2" s="1041"/>
      <c r="O2" s="1041"/>
      <c r="P2" s="1041"/>
      <c r="Q2" s="1041"/>
      <c r="R2" s="1041"/>
      <c r="S2" s="1041"/>
      <c r="T2" s="1041"/>
      <c r="U2" s="1041"/>
      <c r="V2" s="1041"/>
      <c r="W2" s="1041"/>
      <c r="X2" s="1045"/>
      <c r="Y2" s="1045"/>
      <c r="Z2" s="1042"/>
      <c r="AA2" s="1042"/>
      <c r="AB2" s="1042"/>
      <c r="AC2" s="1043"/>
      <c r="AD2" s="1043"/>
      <c r="AE2" s="1043"/>
      <c r="AF2" s="1043"/>
      <c r="AG2" s="1043"/>
      <c r="AH2" s="1043"/>
      <c r="AI2" s="1043"/>
      <c r="AJ2" s="1043"/>
      <c r="AK2" s="1043"/>
      <c r="AL2" s="1043"/>
      <c r="AM2" s="1043"/>
      <c r="AN2" s="1043"/>
      <c r="AO2" s="1043"/>
      <c r="AP2" s="1043"/>
      <c r="AQ2" s="1043"/>
      <c r="AR2" s="1043"/>
      <c r="AS2" s="1043"/>
      <c r="AT2" s="1043"/>
      <c r="AU2" s="1043"/>
      <c r="AV2" s="1043"/>
      <c r="AW2" s="1043"/>
      <c r="AX2" s="1043"/>
      <c r="AY2" s="1043"/>
      <c r="AZ2" s="1043"/>
      <c r="BA2" s="1043"/>
      <c r="BB2" s="1043"/>
      <c r="BC2" s="1043"/>
      <c r="BD2" s="1043"/>
      <c r="BE2" s="1043"/>
      <c r="BF2" s="1043"/>
      <c r="BG2" s="1043"/>
      <c r="BH2" s="1043"/>
      <c r="BI2" s="1043"/>
    </row>
    <row r="3" spans="1:61" ht="22.35" customHeight="1" thickTop="1" x14ac:dyDescent="0.3">
      <c r="B3" s="77" t="s">
        <v>349</v>
      </c>
      <c r="C3" s="254" t="str">
        <f>Development!B6</f>
        <v>4.1.25</v>
      </c>
      <c r="AE3" s="234"/>
    </row>
    <row r="4" spans="1:61" ht="16.5" customHeight="1" x14ac:dyDescent="0.3">
      <c r="B4" s="210" t="s">
        <v>1094</v>
      </c>
      <c r="H4"/>
      <c r="I4"/>
      <c r="J4"/>
      <c r="K4"/>
      <c r="L4"/>
      <c r="M4"/>
      <c r="AD4" s="247"/>
      <c r="AE4" s="245"/>
    </row>
    <row r="5" spans="1:61" ht="16.5" customHeight="1" x14ac:dyDescent="0.3">
      <c r="B5" s="2" t="s">
        <v>1445</v>
      </c>
      <c r="H5"/>
      <c r="I5"/>
      <c r="J5"/>
      <c r="K5"/>
      <c r="L5"/>
      <c r="M5"/>
      <c r="AD5" s="355"/>
      <c r="AE5" s="246"/>
    </row>
    <row r="6" spans="1:61" ht="16.5" customHeight="1" thickBot="1" x14ac:dyDescent="0.35">
      <c r="B6" s="210" t="s">
        <v>1446</v>
      </c>
      <c r="H6"/>
      <c r="I6"/>
      <c r="J6"/>
      <c r="K6"/>
      <c r="L6"/>
      <c r="M6"/>
      <c r="AD6" s="261"/>
      <c r="AE6" s="246"/>
    </row>
    <row r="7" spans="1:61" ht="16.5" customHeight="1" x14ac:dyDescent="0.3">
      <c r="B7" s="228" t="s">
        <v>1095</v>
      </c>
      <c r="C7" s="228"/>
      <c r="D7" s="228"/>
      <c r="E7" s="228"/>
      <c r="F7" s="228"/>
      <c r="AB7" s="1215" t="s">
        <v>385</v>
      </c>
      <c r="AC7" s="1216"/>
      <c r="AD7" s="85"/>
      <c r="AE7" s="230"/>
      <c r="AG7" s="246"/>
    </row>
    <row r="8" spans="1:61" ht="15.75" customHeight="1" thickBot="1" x14ac:dyDescent="0.35">
      <c r="B8" s="227" t="s">
        <v>1096</v>
      </c>
      <c r="C8" s="1"/>
      <c r="D8" s="253"/>
      <c r="E8" s="253"/>
      <c r="F8" s="253"/>
      <c r="AB8" s="1217"/>
      <c r="AC8" s="1218"/>
      <c r="AD8" s="83"/>
      <c r="AE8" s="230"/>
      <c r="AF8" s="2" t="str">
        <f>IF(OR(B14="",B14=0),"FAIL","PASS")</f>
        <v>FAIL</v>
      </c>
      <c r="AG8" s="246"/>
    </row>
    <row r="9" spans="1:61" ht="20.25" customHeight="1" x14ac:dyDescent="0.3">
      <c r="B9" s="250" t="s">
        <v>1097</v>
      </c>
      <c r="C9" s="1"/>
      <c r="D9" s="238"/>
      <c r="E9" s="238"/>
      <c r="F9" s="238"/>
      <c r="AB9" s="982" t="s">
        <v>386</v>
      </c>
      <c r="AC9" s="989" t="str">
        <f>IF(SUM(Calculations!AU37:AU61)=0,"",SUM(Calculations!AU37:AU61))</f>
        <v/>
      </c>
      <c r="AD9" s="83"/>
      <c r="AE9" s="230"/>
      <c r="AG9" s="246"/>
    </row>
    <row r="10" spans="1:61" ht="22.5" customHeight="1" thickBot="1" x14ac:dyDescent="0.35">
      <c r="B10" s="250" t="s">
        <v>955</v>
      </c>
      <c r="C10" s="1"/>
      <c r="E10" s="251" t="s">
        <v>956</v>
      </c>
      <c r="F10" s="251"/>
      <c r="AB10" s="982" t="s">
        <v>387</v>
      </c>
      <c r="AC10" s="983" t="str">
        <f>IF(SUM(Calculations!AZ37:AZ61)=0,"",SUM(Calculations!AZ37:AZ61))</f>
        <v/>
      </c>
      <c r="AD10" s="84"/>
      <c r="AE10" s="230"/>
      <c r="AG10" s="246"/>
    </row>
    <row r="11" spans="1:61" ht="22.5" customHeight="1" x14ac:dyDescent="0.3">
      <c r="B11" s="1208" t="s">
        <v>824</v>
      </c>
      <c r="C11" s="1209"/>
      <c r="D11" s="1209"/>
      <c r="E11" s="1209"/>
      <c r="F11" s="1209"/>
      <c r="G11" s="1209"/>
      <c r="H11" s="1209"/>
      <c r="I11" s="1209"/>
      <c r="J11" s="1210"/>
      <c r="AB11" s="982" t="s">
        <v>943</v>
      </c>
      <c r="AC11" s="984" t="str">
        <f>IF(SUM(Calculations!BC37:BC61)=0,"",SUM(Calculations!BC37:BC61))</f>
        <v/>
      </c>
      <c r="AD11" s="82"/>
      <c r="AE11" s="230"/>
      <c r="AF11" s="78" t="e">
        <f>IF(AC12=0,"",AC13/AC12)</f>
        <v>#VALUE!</v>
      </c>
      <c r="AG11" s="246"/>
    </row>
    <row r="12" spans="1:61" ht="27" customHeight="1" thickBot="1" x14ac:dyDescent="0.35">
      <c r="B12" s="934" t="s">
        <v>825</v>
      </c>
      <c r="C12" s="935" t="s">
        <v>12</v>
      </c>
      <c r="D12" s="1236" t="s">
        <v>829</v>
      </c>
      <c r="E12" s="1236"/>
      <c r="F12" s="1236"/>
      <c r="G12" s="1234" t="s">
        <v>708</v>
      </c>
      <c r="H12" s="1235"/>
      <c r="I12" s="1234" t="s">
        <v>894</v>
      </c>
      <c r="J12" s="1237"/>
      <c r="N12" s="17" t="s">
        <v>801</v>
      </c>
      <c r="O12" s="1233"/>
      <c r="P12" s="1233"/>
      <c r="Q12" s="1233"/>
      <c r="AB12" s="985" t="s">
        <v>375</v>
      </c>
      <c r="AC12" s="986" t="str">
        <f>IF(SUM(AC19:AC43)=0,"",SUM(AC19:AC43)+I14)</f>
        <v/>
      </c>
      <c r="AD12" s="248"/>
      <c r="AG12" s="246"/>
    </row>
    <row r="13" spans="1:61" ht="19.5" customHeight="1" thickBot="1" x14ac:dyDescent="0.35">
      <c r="B13" s="924" t="s">
        <v>830</v>
      </c>
      <c r="C13" s="938" t="s">
        <v>831</v>
      </c>
      <c r="D13" s="1219" t="s">
        <v>833</v>
      </c>
      <c r="E13" s="1219"/>
      <c r="F13" s="1219"/>
      <c r="G13" s="1221" t="s">
        <v>834</v>
      </c>
      <c r="H13" s="1228"/>
      <c r="I13" s="1221"/>
      <c r="J13" s="1222"/>
      <c r="AB13" s="987" t="s">
        <v>536</v>
      </c>
      <c r="AC13" s="988" t="str">
        <f>IF(SUM(AC19:AC43)=0,"",Calculations!BH37+I14)</f>
        <v/>
      </c>
      <c r="AG13" s="246"/>
    </row>
    <row r="14" spans="1:61" ht="19.5" customHeight="1" thickBot="1" x14ac:dyDescent="0.35">
      <c r="B14" s="936"/>
      <c r="C14" s="937"/>
      <c r="D14" s="1220"/>
      <c r="E14" s="1220"/>
      <c r="F14" s="1220"/>
      <c r="G14" s="1231"/>
      <c r="H14" s="1232"/>
      <c r="I14" s="1223">
        <f>IF(OR(B14="",B14="No Fossil Fuel Heating"),0,IF(OR(C14="",D14="",G14=""),0,'HVAC References'!$G$212))</f>
        <v>0</v>
      </c>
      <c r="J14" s="1224"/>
      <c r="AC14" s="764"/>
    </row>
    <row r="15" spans="1:61" ht="17.25" thickBot="1" x14ac:dyDescent="0.35">
      <c r="B15" s="232" t="str">
        <f>IF(AF8="PASS","","*Please Enter Integrated Controls Information Above*")</f>
        <v>*Please Enter Integrated Controls Information Above*</v>
      </c>
      <c r="C15" s="1"/>
      <c r="D15" s="1"/>
      <c r="E15" s="1"/>
      <c r="F15" s="1"/>
      <c r="AB15" s="232" t="str">
        <f>IF(OR(O12="",O12="… please select …"),"*Please enter a Building Type*","")</f>
        <v>*Please enter a Building Type*</v>
      </c>
    </row>
    <row r="16" spans="1:61" ht="14.45" customHeight="1" thickBot="1" x14ac:dyDescent="0.35">
      <c r="B16" s="1225" t="s">
        <v>22</v>
      </c>
      <c r="C16" s="1226"/>
      <c r="D16" s="1226"/>
      <c r="E16" s="1226"/>
      <c r="F16" s="1226"/>
      <c r="G16" s="1226"/>
      <c r="H16" s="1226"/>
      <c r="I16" s="1226"/>
      <c r="J16" s="1227"/>
      <c r="K16" s="229"/>
      <c r="L16" s="1229" t="s">
        <v>821</v>
      </c>
      <c r="M16" s="1230"/>
      <c r="N16" s="229"/>
      <c r="O16" s="1208" t="s">
        <v>305</v>
      </c>
      <c r="P16" s="1209"/>
      <c r="Q16" s="1210"/>
      <c r="R16" s="229"/>
      <c r="S16" s="1208" t="s">
        <v>21</v>
      </c>
      <c r="T16" s="1209"/>
      <c r="U16" s="1209"/>
      <c r="V16" s="1209"/>
      <c r="W16" s="1209"/>
      <c r="X16" s="1209"/>
      <c r="Y16" s="1209"/>
      <c r="Z16" s="1210"/>
      <c r="AA16" s="229"/>
      <c r="AB16" s="1208"/>
      <c r="AC16" s="1209"/>
      <c r="AD16" s="1210"/>
      <c r="AG16" s="246"/>
    </row>
    <row r="17" spans="1:33" s="75" customFormat="1" ht="42.75" customHeight="1" thickBot="1" x14ac:dyDescent="0.35">
      <c r="A17" s="2"/>
      <c r="B17" s="1083" t="s">
        <v>9</v>
      </c>
      <c r="C17" s="1084" t="s">
        <v>12</v>
      </c>
      <c r="D17" s="1084" t="s">
        <v>708</v>
      </c>
      <c r="E17" s="1084" t="s">
        <v>828</v>
      </c>
      <c r="F17" s="1084" t="s">
        <v>1453</v>
      </c>
      <c r="G17" s="1084" t="s">
        <v>1454</v>
      </c>
      <c r="H17" s="1084" t="s">
        <v>440</v>
      </c>
      <c r="I17" s="1084" t="s">
        <v>15</v>
      </c>
      <c r="J17" s="1085" t="s">
        <v>73</v>
      </c>
      <c r="K17" s="928"/>
      <c r="L17" s="930" t="s">
        <v>822</v>
      </c>
      <c r="M17" s="931" t="s">
        <v>823</v>
      </c>
      <c r="N17" s="928"/>
      <c r="O17" s="930" t="s">
        <v>306</v>
      </c>
      <c r="P17" s="939" t="s">
        <v>307</v>
      </c>
      <c r="Q17" s="931" t="s">
        <v>308</v>
      </c>
      <c r="R17" s="943"/>
      <c r="S17" s="918" t="s">
        <v>1010</v>
      </c>
      <c r="T17" s="919" t="s">
        <v>1011</v>
      </c>
      <c r="U17" s="919" t="s">
        <v>1073</v>
      </c>
      <c r="V17" s="919" t="s">
        <v>777</v>
      </c>
      <c r="W17" s="919" t="s">
        <v>778</v>
      </c>
      <c r="X17" s="919" t="s">
        <v>779</v>
      </c>
      <c r="Y17" s="919" t="s">
        <v>780</v>
      </c>
      <c r="Z17" s="920" t="s">
        <v>758</v>
      </c>
      <c r="AA17" s="943"/>
      <c r="AB17" s="918" t="s">
        <v>540</v>
      </c>
      <c r="AC17" s="919" t="s">
        <v>826</v>
      </c>
      <c r="AD17" s="920" t="s">
        <v>827</v>
      </c>
    </row>
    <row r="18" spans="1:33" ht="20.100000000000001" customHeight="1" thickBot="1" x14ac:dyDescent="0.35">
      <c r="A18" s="4" t="s">
        <v>39</v>
      </c>
      <c r="B18" s="924" t="s">
        <v>808</v>
      </c>
      <c r="C18" s="925" t="s">
        <v>154</v>
      </c>
      <c r="D18" s="925" t="s">
        <v>272</v>
      </c>
      <c r="E18" s="925">
        <v>5593485</v>
      </c>
      <c r="F18" s="926">
        <v>36000</v>
      </c>
      <c r="G18" s="926">
        <v>36000</v>
      </c>
      <c r="H18" s="925">
        <v>18</v>
      </c>
      <c r="I18" s="925">
        <v>13</v>
      </c>
      <c r="J18" s="927">
        <v>10</v>
      </c>
      <c r="K18" s="929"/>
      <c r="L18" s="932">
        <v>34000</v>
      </c>
      <c r="M18" s="933">
        <v>36000</v>
      </c>
      <c r="N18" s="929"/>
      <c r="O18" s="940">
        <v>5000</v>
      </c>
      <c r="P18" s="941">
        <v>1500</v>
      </c>
      <c r="Q18" s="942">
        <v>6500</v>
      </c>
      <c r="R18" s="943"/>
      <c r="S18" s="946" t="s">
        <v>123</v>
      </c>
      <c r="T18" s="947" t="s">
        <v>748</v>
      </c>
      <c r="U18" s="947"/>
      <c r="V18" s="948">
        <v>13</v>
      </c>
      <c r="W18" s="948">
        <v>10</v>
      </c>
      <c r="X18" s="948">
        <v>8</v>
      </c>
      <c r="Y18" s="948">
        <v>1</v>
      </c>
      <c r="Z18" s="949">
        <v>0.8</v>
      </c>
      <c r="AA18" s="929"/>
      <c r="AB18" s="924"/>
      <c r="AC18" s="951"/>
      <c r="AD18" s="952"/>
    </row>
    <row r="19" spans="1:33" ht="20.100000000000001" customHeight="1" x14ac:dyDescent="0.3">
      <c r="A19" s="2">
        <v>1</v>
      </c>
      <c r="B19" s="921"/>
      <c r="C19" s="922"/>
      <c r="D19" s="922"/>
      <c r="E19" s="922"/>
      <c r="F19" s="923"/>
      <c r="G19" s="923"/>
      <c r="H19" s="922"/>
      <c r="I19" s="922"/>
      <c r="J19" s="995"/>
      <c r="K19" s="929"/>
      <c r="L19" s="953"/>
      <c r="M19" s="954"/>
      <c r="N19" s="929"/>
      <c r="O19" s="961"/>
      <c r="P19" s="964"/>
      <c r="Q19" s="967" t="str">
        <f t="shared" ref="Q19:Q43" si="0">IF(OR(O19="",P19=""),"",P19+O19)</f>
        <v/>
      </c>
      <c r="R19" s="943"/>
      <c r="S19" s="921"/>
      <c r="T19" s="922"/>
      <c r="U19" s="922"/>
      <c r="V19" s="944"/>
      <c r="W19" s="922"/>
      <c r="X19" s="945"/>
      <c r="Y19" s="945"/>
      <c r="Z19" s="970"/>
      <c r="AA19" s="929"/>
      <c r="AB19" s="975" t="str">
        <f>IF(B19="","",Calculations!AD37)</f>
        <v/>
      </c>
      <c r="AC19" s="950" t="str">
        <f>IF(OR(G19="",S19="",T19="",Q19="",$AF$8="FAIL"),"",Calculations!BG37)</f>
        <v/>
      </c>
      <c r="AD19" s="976" t="e">
        <f>IF(OR(H19="",T19="",#REF!="",#REF!="",$AF$8="FAIL"),"",#REF!)</f>
        <v>#REF!</v>
      </c>
      <c r="AE19" s="79" t="str">
        <f>IF(AC19="","",AC19*AF$11)</f>
        <v/>
      </c>
      <c r="AF19" s="79" t="str">
        <f t="shared" ref="AF19:AF43" si="1">IF(AE19="","",AE19/G19)</f>
        <v/>
      </c>
      <c r="AG19" s="262" t="str">
        <f t="shared" ref="AG19:AG43" si="2">IF(AND(OR(S19="",T19=""),AB19="PASS"),"*Please enter Existing Equipment Type. Enter ''None'' for New Construction.*","")</f>
        <v/>
      </c>
    </row>
    <row r="20" spans="1:33" ht="20.100000000000001" customHeight="1" x14ac:dyDescent="0.3">
      <c r="A20" s="3">
        <v>2</v>
      </c>
      <c r="B20" s="914"/>
      <c r="C20" s="107"/>
      <c r="D20" s="107"/>
      <c r="E20" s="107"/>
      <c r="F20" s="255"/>
      <c r="G20" s="255"/>
      <c r="H20" s="107"/>
      <c r="I20" s="107"/>
      <c r="J20" s="996"/>
      <c r="K20" s="929"/>
      <c r="L20" s="955"/>
      <c r="M20" s="956"/>
      <c r="N20" s="929"/>
      <c r="O20" s="962"/>
      <c r="P20" s="965"/>
      <c r="Q20" s="968" t="str">
        <f t="shared" si="0"/>
        <v/>
      </c>
      <c r="R20" s="943"/>
      <c r="S20" s="914"/>
      <c r="T20" s="107"/>
      <c r="U20" s="107"/>
      <c r="V20" s="108"/>
      <c r="W20" s="107"/>
      <c r="X20" s="249"/>
      <c r="Y20" s="249"/>
      <c r="Z20" s="971"/>
      <c r="AA20" s="929"/>
      <c r="AB20" s="977" t="str">
        <f>IF(B20="","",Calculations!AD38)</f>
        <v/>
      </c>
      <c r="AC20" s="28" t="str">
        <f>IF(OR(G20="",S20="",T20="",Q20="",$AF$8="FAIL"),"",Calculations!BG38)</f>
        <v/>
      </c>
      <c r="AD20" s="978" t="e">
        <f>IF(OR(H20="",T20="",#REF!="",#REF!="",$AF$8="FAIL"),"",#REF!)</f>
        <v>#REF!</v>
      </c>
      <c r="AE20" s="79" t="str">
        <f t="shared" ref="AE20:AE43" si="3">IF(AC20="","",AC20*AF$11)</f>
        <v/>
      </c>
      <c r="AF20" s="79" t="str">
        <f t="shared" si="1"/>
        <v/>
      </c>
      <c r="AG20" s="262" t="str">
        <f t="shared" si="2"/>
        <v/>
      </c>
    </row>
    <row r="21" spans="1:33" ht="20.100000000000001" customHeight="1" x14ac:dyDescent="0.3">
      <c r="A21" s="3">
        <v>3</v>
      </c>
      <c r="B21" s="914"/>
      <c r="C21" s="107"/>
      <c r="D21" s="107"/>
      <c r="E21" s="107"/>
      <c r="F21" s="255"/>
      <c r="G21" s="255"/>
      <c r="H21" s="107"/>
      <c r="I21" s="107"/>
      <c r="J21" s="996"/>
      <c r="K21" s="929"/>
      <c r="L21" s="955"/>
      <c r="M21" s="956"/>
      <c r="N21" s="929"/>
      <c r="O21" s="962"/>
      <c r="P21" s="965"/>
      <c r="Q21" s="968" t="str">
        <f t="shared" si="0"/>
        <v/>
      </c>
      <c r="R21" s="943"/>
      <c r="S21" s="914"/>
      <c r="T21" s="107"/>
      <c r="U21" s="107"/>
      <c r="V21" s="108"/>
      <c r="W21" s="107"/>
      <c r="X21" s="249"/>
      <c r="Y21" s="249"/>
      <c r="Z21" s="971"/>
      <c r="AA21" s="929"/>
      <c r="AB21" s="977" t="str">
        <f>IF(B21="","",Calculations!AD39)</f>
        <v/>
      </c>
      <c r="AC21" s="28" t="str">
        <f>IF(OR(G21="",S21="",T21="",Q21="",$AF$8="FAIL"),"",Calculations!BG39)</f>
        <v/>
      </c>
      <c r="AD21" s="978" t="e">
        <f>IF(OR(H21="",T21="",#REF!="",#REF!="",$AF$8="FAIL"),"",#REF!)</f>
        <v>#REF!</v>
      </c>
      <c r="AE21" s="79" t="str">
        <f t="shared" si="3"/>
        <v/>
      </c>
      <c r="AF21" s="79" t="str">
        <f t="shared" si="1"/>
        <v/>
      </c>
      <c r="AG21" s="262" t="str">
        <f t="shared" si="2"/>
        <v/>
      </c>
    </row>
    <row r="22" spans="1:33" ht="20.100000000000001" customHeight="1" x14ac:dyDescent="0.3">
      <c r="A22" s="3">
        <v>4</v>
      </c>
      <c r="B22" s="914"/>
      <c r="C22" s="107"/>
      <c r="D22" s="107"/>
      <c r="E22" s="107"/>
      <c r="F22" s="255"/>
      <c r="G22" s="255"/>
      <c r="H22" s="107"/>
      <c r="I22" s="107"/>
      <c r="J22" s="996"/>
      <c r="K22" s="929"/>
      <c r="L22" s="955"/>
      <c r="M22" s="956"/>
      <c r="N22" s="929"/>
      <c r="O22" s="962"/>
      <c r="P22" s="965"/>
      <c r="Q22" s="968" t="str">
        <f t="shared" si="0"/>
        <v/>
      </c>
      <c r="R22" s="943"/>
      <c r="S22" s="914"/>
      <c r="T22" s="107"/>
      <c r="U22" s="107"/>
      <c r="V22" s="108"/>
      <c r="W22" s="107"/>
      <c r="X22" s="249"/>
      <c r="Y22" s="249"/>
      <c r="Z22" s="971"/>
      <c r="AA22" s="929"/>
      <c r="AB22" s="977" t="str">
        <f>IF(B22="","",Calculations!AD40)</f>
        <v/>
      </c>
      <c r="AC22" s="28" t="str">
        <f>IF(OR(G22="",S22="",T22="",Q22="",$AF$8="FAIL"),"",Calculations!BG40)</f>
        <v/>
      </c>
      <c r="AD22" s="978" t="e">
        <f>IF(OR(H22="",T22="",#REF!="",#REF!="",$AF$8="FAIL"),"",#REF!)</f>
        <v>#REF!</v>
      </c>
      <c r="AE22" s="79" t="str">
        <f t="shared" si="3"/>
        <v/>
      </c>
      <c r="AF22" s="79" t="str">
        <f t="shared" si="1"/>
        <v/>
      </c>
      <c r="AG22" s="262" t="str">
        <f t="shared" si="2"/>
        <v/>
      </c>
    </row>
    <row r="23" spans="1:33" ht="20.100000000000001" customHeight="1" x14ac:dyDescent="0.3">
      <c r="A23" s="3">
        <v>5</v>
      </c>
      <c r="B23" s="914"/>
      <c r="C23" s="107"/>
      <c r="D23" s="107"/>
      <c r="E23" s="107"/>
      <c r="F23" s="255"/>
      <c r="G23" s="255"/>
      <c r="H23" s="107"/>
      <c r="I23" s="107"/>
      <c r="J23" s="996"/>
      <c r="K23" s="929"/>
      <c r="L23" s="955"/>
      <c r="M23" s="956"/>
      <c r="N23" s="929"/>
      <c r="O23" s="962"/>
      <c r="P23" s="965"/>
      <c r="Q23" s="968" t="str">
        <f t="shared" si="0"/>
        <v/>
      </c>
      <c r="R23" s="943"/>
      <c r="S23" s="914"/>
      <c r="T23" s="107"/>
      <c r="U23" s="107"/>
      <c r="V23" s="108"/>
      <c r="W23" s="107"/>
      <c r="X23" s="249"/>
      <c r="Y23" s="249"/>
      <c r="Z23" s="971"/>
      <c r="AA23" s="929"/>
      <c r="AB23" s="977" t="str">
        <f>IF(B23="","",Calculations!AD41)</f>
        <v/>
      </c>
      <c r="AC23" s="28" t="str">
        <f>IF(OR(G23="",S23="",T23="",Q23="",$AF$8="FAIL"),"",Calculations!BG41)</f>
        <v/>
      </c>
      <c r="AD23" s="978" t="e">
        <f>IF(OR(H23="",T23="",#REF!="",#REF!="",$AF$8="FAIL"),"",#REF!)</f>
        <v>#REF!</v>
      </c>
      <c r="AE23" s="79" t="str">
        <f t="shared" si="3"/>
        <v/>
      </c>
      <c r="AF23" s="79" t="str">
        <f t="shared" si="1"/>
        <v/>
      </c>
      <c r="AG23" s="262" t="str">
        <f t="shared" si="2"/>
        <v/>
      </c>
    </row>
    <row r="24" spans="1:33" ht="20.100000000000001" customHeight="1" x14ac:dyDescent="0.3">
      <c r="A24" s="3">
        <v>6</v>
      </c>
      <c r="B24" s="914"/>
      <c r="C24" s="107"/>
      <c r="D24" s="107"/>
      <c r="E24" s="107"/>
      <c r="F24" s="255"/>
      <c r="G24" s="255"/>
      <c r="H24" s="107"/>
      <c r="I24" s="107"/>
      <c r="J24" s="996"/>
      <c r="K24" s="929"/>
      <c r="L24" s="955"/>
      <c r="M24" s="956"/>
      <c r="N24" s="929"/>
      <c r="O24" s="962"/>
      <c r="P24" s="965"/>
      <c r="Q24" s="968" t="str">
        <f t="shared" si="0"/>
        <v/>
      </c>
      <c r="R24" s="943"/>
      <c r="S24" s="914"/>
      <c r="T24" s="107"/>
      <c r="U24" s="107"/>
      <c r="V24" s="108"/>
      <c r="W24" s="107"/>
      <c r="X24" s="249"/>
      <c r="Y24" s="249"/>
      <c r="Z24" s="971"/>
      <c r="AA24" s="929"/>
      <c r="AB24" s="977" t="str">
        <f>IF(B24="","",Calculations!AD42)</f>
        <v/>
      </c>
      <c r="AC24" s="28" t="str">
        <f>IF(OR(G24="",S24="",T24="",Q24="",$AF$8="FAIL"),"",Calculations!BG42)</f>
        <v/>
      </c>
      <c r="AD24" s="978" t="e">
        <f>IF(OR(H24="",T24="",#REF!="",#REF!="",$AF$8="FAIL"),"",#REF!)</f>
        <v>#REF!</v>
      </c>
      <c r="AE24" s="79" t="str">
        <f t="shared" si="3"/>
        <v/>
      </c>
      <c r="AF24" s="79" t="str">
        <f t="shared" si="1"/>
        <v/>
      </c>
      <c r="AG24" s="262" t="str">
        <f t="shared" si="2"/>
        <v/>
      </c>
    </row>
    <row r="25" spans="1:33" ht="20.100000000000001" customHeight="1" x14ac:dyDescent="0.3">
      <c r="A25" s="3">
        <v>7</v>
      </c>
      <c r="B25" s="914"/>
      <c r="C25" s="107"/>
      <c r="D25" s="107"/>
      <c r="E25" s="107"/>
      <c r="F25" s="255"/>
      <c r="G25" s="255"/>
      <c r="H25" s="107"/>
      <c r="I25" s="107"/>
      <c r="J25" s="996"/>
      <c r="K25" s="929"/>
      <c r="L25" s="957"/>
      <c r="M25" s="958"/>
      <c r="N25" s="929"/>
      <c r="O25" s="962"/>
      <c r="P25" s="965"/>
      <c r="Q25" s="968" t="str">
        <f t="shared" si="0"/>
        <v/>
      </c>
      <c r="R25" s="943"/>
      <c r="S25" s="914"/>
      <c r="T25" s="107"/>
      <c r="U25" s="107"/>
      <c r="V25" s="108"/>
      <c r="W25" s="107"/>
      <c r="X25" s="249"/>
      <c r="Y25" s="249"/>
      <c r="Z25" s="971"/>
      <c r="AA25" s="929"/>
      <c r="AB25" s="977" t="str">
        <f>IF(B25="","",Calculations!AD43)</f>
        <v/>
      </c>
      <c r="AC25" s="28" t="str">
        <f>IF(OR(G25="",S25="",T25="",Q25="",$AF$8="FAIL"),"",Calculations!BG43)</f>
        <v/>
      </c>
      <c r="AD25" s="978" t="e">
        <f>IF(OR(H25="",T25="",#REF!="",#REF!="",$AF$8="FAIL"),"",#REF!)</f>
        <v>#REF!</v>
      </c>
      <c r="AE25" s="79" t="str">
        <f t="shared" si="3"/>
        <v/>
      </c>
      <c r="AF25" s="79" t="str">
        <f t="shared" si="1"/>
        <v/>
      </c>
      <c r="AG25" s="262" t="str">
        <f t="shared" si="2"/>
        <v/>
      </c>
    </row>
    <row r="26" spans="1:33" ht="20.100000000000001" customHeight="1" x14ac:dyDescent="0.3">
      <c r="A26" s="3">
        <v>8</v>
      </c>
      <c r="B26" s="914"/>
      <c r="C26" s="107"/>
      <c r="D26" s="107"/>
      <c r="E26" s="107"/>
      <c r="F26" s="255"/>
      <c r="G26" s="255"/>
      <c r="H26" s="107"/>
      <c r="I26" s="107"/>
      <c r="J26" s="996"/>
      <c r="K26" s="929"/>
      <c r="L26" s="957"/>
      <c r="M26" s="958"/>
      <c r="N26" s="929"/>
      <c r="O26" s="962"/>
      <c r="P26" s="965"/>
      <c r="Q26" s="968" t="str">
        <f t="shared" si="0"/>
        <v/>
      </c>
      <c r="R26" s="943"/>
      <c r="S26" s="914"/>
      <c r="T26" s="107"/>
      <c r="U26" s="107"/>
      <c r="V26" s="108"/>
      <c r="W26" s="107"/>
      <c r="X26" s="249"/>
      <c r="Y26" s="249"/>
      <c r="Z26" s="971"/>
      <c r="AA26" s="929"/>
      <c r="AB26" s="977" t="str">
        <f>IF(B26="","",Calculations!AD44)</f>
        <v/>
      </c>
      <c r="AC26" s="28" t="str">
        <f>IF(OR(G26="",S26="",T26="",Q26="",$AF$8="FAIL"),"",Calculations!BG44)</f>
        <v/>
      </c>
      <c r="AD26" s="978" t="e">
        <f>IF(OR(H26="",T26="",#REF!="",#REF!="",$AF$8="FAIL"),"",#REF!)</f>
        <v>#REF!</v>
      </c>
      <c r="AE26" s="79" t="str">
        <f t="shared" si="3"/>
        <v/>
      </c>
      <c r="AF26" s="79" t="str">
        <f t="shared" si="1"/>
        <v/>
      </c>
      <c r="AG26" s="262" t="str">
        <f t="shared" si="2"/>
        <v/>
      </c>
    </row>
    <row r="27" spans="1:33" ht="20.100000000000001" customHeight="1" x14ac:dyDescent="0.3">
      <c r="A27" s="3">
        <v>9</v>
      </c>
      <c r="B27" s="914"/>
      <c r="C27" s="107"/>
      <c r="D27" s="107"/>
      <c r="E27" s="107"/>
      <c r="F27" s="255"/>
      <c r="G27" s="255"/>
      <c r="H27" s="107"/>
      <c r="I27" s="107"/>
      <c r="J27" s="996"/>
      <c r="K27" s="929"/>
      <c r="L27" s="957"/>
      <c r="M27" s="958"/>
      <c r="N27" s="929"/>
      <c r="O27" s="962"/>
      <c r="P27" s="965"/>
      <c r="Q27" s="968" t="str">
        <f t="shared" si="0"/>
        <v/>
      </c>
      <c r="R27" s="943"/>
      <c r="S27" s="914"/>
      <c r="T27" s="107"/>
      <c r="U27" s="107"/>
      <c r="V27" s="108"/>
      <c r="W27" s="107"/>
      <c r="X27" s="249"/>
      <c r="Y27" s="249"/>
      <c r="Z27" s="971"/>
      <c r="AA27" s="929"/>
      <c r="AB27" s="977" t="str">
        <f>IF(B27="","",Calculations!AD45)</f>
        <v/>
      </c>
      <c r="AC27" s="28" t="str">
        <f>IF(OR(G27="",S27="",T27="",Q27="",$AF$8="FAIL"),"",Calculations!BG45)</f>
        <v/>
      </c>
      <c r="AD27" s="978" t="e">
        <f>IF(OR(H27="",T27="",#REF!="",#REF!="",$AF$8="FAIL"),"",#REF!)</f>
        <v>#REF!</v>
      </c>
      <c r="AE27" s="79" t="str">
        <f t="shared" si="3"/>
        <v/>
      </c>
      <c r="AF27" s="79" t="str">
        <f t="shared" si="1"/>
        <v/>
      </c>
      <c r="AG27" s="262" t="str">
        <f t="shared" si="2"/>
        <v/>
      </c>
    </row>
    <row r="28" spans="1:33" ht="20.100000000000001" customHeight="1" x14ac:dyDescent="0.3">
      <c r="A28" s="3">
        <v>10</v>
      </c>
      <c r="B28" s="914"/>
      <c r="C28" s="107"/>
      <c r="D28" s="107"/>
      <c r="E28" s="107"/>
      <c r="F28" s="255"/>
      <c r="G28" s="255"/>
      <c r="H28" s="107"/>
      <c r="I28" s="107"/>
      <c r="J28" s="996"/>
      <c r="K28" s="929"/>
      <c r="L28" s="957"/>
      <c r="M28" s="958"/>
      <c r="N28" s="929"/>
      <c r="O28" s="962"/>
      <c r="P28" s="965"/>
      <c r="Q28" s="968" t="str">
        <f t="shared" si="0"/>
        <v/>
      </c>
      <c r="R28" s="943"/>
      <c r="S28" s="914"/>
      <c r="T28" s="107"/>
      <c r="U28" s="107"/>
      <c r="V28" s="108"/>
      <c r="W28" s="107"/>
      <c r="X28" s="249"/>
      <c r="Y28" s="249"/>
      <c r="Z28" s="971"/>
      <c r="AA28" s="929"/>
      <c r="AB28" s="977" t="str">
        <f>IF(B28="","",Calculations!AD46)</f>
        <v/>
      </c>
      <c r="AC28" s="28" t="str">
        <f>IF(OR(G28="",S28="",T28="",Q28="",$AF$8="FAIL"),"",Calculations!BG46)</f>
        <v/>
      </c>
      <c r="AD28" s="978" t="e">
        <f>IF(OR(H28="",T28="",#REF!="",#REF!="",$AF$8="FAIL"),"",#REF!)</f>
        <v>#REF!</v>
      </c>
      <c r="AE28" s="79" t="str">
        <f t="shared" si="3"/>
        <v/>
      </c>
      <c r="AF28" s="79" t="str">
        <f t="shared" si="1"/>
        <v/>
      </c>
      <c r="AG28" s="262" t="str">
        <f t="shared" si="2"/>
        <v/>
      </c>
    </row>
    <row r="29" spans="1:33" ht="20.100000000000001" customHeight="1" x14ac:dyDescent="0.3">
      <c r="A29" s="3">
        <v>11</v>
      </c>
      <c r="B29" s="914"/>
      <c r="C29" s="107"/>
      <c r="D29" s="107"/>
      <c r="E29" s="107"/>
      <c r="F29" s="255"/>
      <c r="G29" s="255"/>
      <c r="H29" s="107"/>
      <c r="I29" s="107"/>
      <c r="J29" s="996"/>
      <c r="K29" s="929"/>
      <c r="L29" s="957"/>
      <c r="M29" s="958"/>
      <c r="N29" s="929"/>
      <c r="O29" s="962"/>
      <c r="P29" s="965"/>
      <c r="Q29" s="968" t="str">
        <f t="shared" si="0"/>
        <v/>
      </c>
      <c r="R29" s="943"/>
      <c r="S29" s="914"/>
      <c r="T29" s="107"/>
      <c r="U29" s="107"/>
      <c r="V29" s="108"/>
      <c r="W29" s="107"/>
      <c r="X29" s="249"/>
      <c r="Y29" s="249"/>
      <c r="Z29" s="971"/>
      <c r="AA29" s="929"/>
      <c r="AB29" s="977" t="str">
        <f>IF(B29="","",Calculations!AD47)</f>
        <v/>
      </c>
      <c r="AC29" s="28" t="str">
        <f>IF(OR(G29="",S29="",T29="",Q29="",$AF$8="FAIL"),"",Calculations!BG47)</f>
        <v/>
      </c>
      <c r="AD29" s="978" t="e">
        <f>IF(OR(H29="",T29="",#REF!="",#REF!="",$AF$8="FAIL"),"",#REF!)</f>
        <v>#REF!</v>
      </c>
      <c r="AE29" s="79" t="str">
        <f t="shared" si="3"/>
        <v/>
      </c>
      <c r="AF29" s="79" t="str">
        <f t="shared" si="1"/>
        <v/>
      </c>
      <c r="AG29" s="262" t="str">
        <f t="shared" si="2"/>
        <v/>
      </c>
    </row>
    <row r="30" spans="1:33" ht="20.100000000000001" customHeight="1" x14ac:dyDescent="0.3">
      <c r="A30" s="3">
        <v>12</v>
      </c>
      <c r="B30" s="914"/>
      <c r="C30" s="107"/>
      <c r="D30" s="107"/>
      <c r="E30" s="107"/>
      <c r="F30" s="255"/>
      <c r="G30" s="255"/>
      <c r="H30" s="107"/>
      <c r="I30" s="107"/>
      <c r="J30" s="996"/>
      <c r="K30" s="929"/>
      <c r="L30" s="957"/>
      <c r="M30" s="958"/>
      <c r="N30" s="929"/>
      <c r="O30" s="962"/>
      <c r="P30" s="965"/>
      <c r="Q30" s="968" t="str">
        <f t="shared" si="0"/>
        <v/>
      </c>
      <c r="R30" s="943"/>
      <c r="S30" s="914"/>
      <c r="T30" s="107"/>
      <c r="U30" s="107"/>
      <c r="V30" s="108"/>
      <c r="W30" s="107"/>
      <c r="X30" s="249"/>
      <c r="Y30" s="249"/>
      <c r="Z30" s="971"/>
      <c r="AA30" s="929"/>
      <c r="AB30" s="977" t="str">
        <f>IF(B30="","",Calculations!AD48)</f>
        <v/>
      </c>
      <c r="AC30" s="28" t="str">
        <f>IF(OR(G30="",S30="",T30="",Q30="",$AF$8="FAIL"),"",Calculations!BG48)</f>
        <v/>
      </c>
      <c r="AD30" s="978" t="e">
        <f>IF(OR(H30="",T30="",#REF!="",#REF!="",$AF$8="FAIL"),"",#REF!)</f>
        <v>#REF!</v>
      </c>
      <c r="AE30" s="79" t="str">
        <f t="shared" si="3"/>
        <v/>
      </c>
      <c r="AF30" s="79" t="str">
        <f t="shared" si="1"/>
        <v/>
      </c>
      <c r="AG30" s="262" t="str">
        <f t="shared" si="2"/>
        <v/>
      </c>
    </row>
    <row r="31" spans="1:33" ht="20.100000000000001" customHeight="1" x14ac:dyDescent="0.3">
      <c r="A31" s="3">
        <v>13</v>
      </c>
      <c r="B31" s="914"/>
      <c r="C31" s="107"/>
      <c r="D31" s="107"/>
      <c r="E31" s="107"/>
      <c r="F31" s="255"/>
      <c r="G31" s="255"/>
      <c r="H31" s="107"/>
      <c r="I31" s="107"/>
      <c r="J31" s="996"/>
      <c r="K31" s="929"/>
      <c r="L31" s="957"/>
      <c r="M31" s="958"/>
      <c r="N31" s="929"/>
      <c r="O31" s="962"/>
      <c r="P31" s="965"/>
      <c r="Q31" s="968" t="str">
        <f t="shared" si="0"/>
        <v/>
      </c>
      <c r="R31" s="943"/>
      <c r="S31" s="914"/>
      <c r="T31" s="107"/>
      <c r="U31" s="107"/>
      <c r="V31" s="108"/>
      <c r="W31" s="107"/>
      <c r="X31" s="249"/>
      <c r="Y31" s="249"/>
      <c r="Z31" s="971"/>
      <c r="AA31" s="929"/>
      <c r="AB31" s="977" t="str">
        <f>IF(B31="","",Calculations!AD49)</f>
        <v/>
      </c>
      <c r="AC31" s="28" t="str">
        <f>IF(OR(G31="",S31="",T31="",Q31="",$AF$8="FAIL"),"",Calculations!BG49)</f>
        <v/>
      </c>
      <c r="AD31" s="978" t="e">
        <f>IF(OR(H31="",T31="",#REF!="",#REF!="",$AF$8="FAIL"),"",#REF!)</f>
        <v>#REF!</v>
      </c>
      <c r="AE31" s="79" t="str">
        <f t="shared" si="3"/>
        <v/>
      </c>
      <c r="AF31" s="79" t="str">
        <f t="shared" si="1"/>
        <v/>
      </c>
      <c r="AG31" s="262" t="str">
        <f t="shared" si="2"/>
        <v/>
      </c>
    </row>
    <row r="32" spans="1:33" ht="20.100000000000001" customHeight="1" x14ac:dyDescent="0.3">
      <c r="A32" s="3">
        <v>14</v>
      </c>
      <c r="B32" s="914"/>
      <c r="C32" s="107"/>
      <c r="D32" s="107"/>
      <c r="E32" s="107"/>
      <c r="F32" s="255"/>
      <c r="G32" s="255"/>
      <c r="H32" s="107"/>
      <c r="I32" s="107"/>
      <c r="J32" s="996"/>
      <c r="K32" s="929"/>
      <c r="L32" s="957"/>
      <c r="M32" s="958"/>
      <c r="N32" s="929"/>
      <c r="O32" s="962"/>
      <c r="P32" s="965"/>
      <c r="Q32" s="968" t="str">
        <f t="shared" si="0"/>
        <v/>
      </c>
      <c r="R32" s="943"/>
      <c r="S32" s="914"/>
      <c r="T32" s="107"/>
      <c r="U32" s="107"/>
      <c r="V32" s="108"/>
      <c r="W32" s="107"/>
      <c r="X32" s="249"/>
      <c r="Y32" s="249"/>
      <c r="Z32" s="971"/>
      <c r="AA32" s="929"/>
      <c r="AB32" s="977" t="str">
        <f>IF(B32="","",Calculations!AD50)</f>
        <v/>
      </c>
      <c r="AC32" s="28" t="str">
        <f>IF(OR(G32="",S32="",T32="",Q32="",$AF$8="FAIL"),"",Calculations!BG50)</f>
        <v/>
      </c>
      <c r="AD32" s="978" t="e">
        <f>IF(OR(H32="",T32="",#REF!="",#REF!="",$AF$8="FAIL"),"",#REF!)</f>
        <v>#REF!</v>
      </c>
      <c r="AE32" s="79" t="str">
        <f t="shared" si="3"/>
        <v/>
      </c>
      <c r="AF32" s="79" t="str">
        <f t="shared" si="1"/>
        <v/>
      </c>
      <c r="AG32" s="262" t="str">
        <f t="shared" si="2"/>
        <v/>
      </c>
    </row>
    <row r="33" spans="1:33" ht="20.100000000000001" customHeight="1" x14ac:dyDescent="0.3">
      <c r="A33" s="3">
        <v>15</v>
      </c>
      <c r="B33" s="914"/>
      <c r="C33" s="107"/>
      <c r="D33" s="107"/>
      <c r="E33" s="107"/>
      <c r="F33" s="255"/>
      <c r="G33" s="255"/>
      <c r="H33" s="107"/>
      <c r="I33" s="107"/>
      <c r="J33" s="996"/>
      <c r="K33" s="929"/>
      <c r="L33" s="957"/>
      <c r="M33" s="958"/>
      <c r="N33" s="929"/>
      <c r="O33" s="962"/>
      <c r="P33" s="965"/>
      <c r="Q33" s="968" t="str">
        <f t="shared" si="0"/>
        <v/>
      </c>
      <c r="R33" s="943"/>
      <c r="S33" s="914"/>
      <c r="T33" s="107"/>
      <c r="U33" s="107"/>
      <c r="V33" s="108"/>
      <c r="W33" s="107"/>
      <c r="X33" s="249"/>
      <c r="Y33" s="249"/>
      <c r="Z33" s="971"/>
      <c r="AA33" s="929"/>
      <c r="AB33" s="977" t="str">
        <f>IF(B33="","",Calculations!AD51)</f>
        <v/>
      </c>
      <c r="AC33" s="28" t="str">
        <f>IF(OR(G33="",S33="",T33="",Q33="",$AF$8="FAIL"),"",Calculations!BG51)</f>
        <v/>
      </c>
      <c r="AD33" s="978" t="e">
        <f>IF(OR(H33="",T33="",#REF!="",#REF!="",$AF$8="FAIL"),"",#REF!)</f>
        <v>#REF!</v>
      </c>
      <c r="AE33" s="79" t="str">
        <f t="shared" si="3"/>
        <v/>
      </c>
      <c r="AF33" s="79" t="str">
        <f t="shared" si="1"/>
        <v/>
      </c>
      <c r="AG33" s="262" t="str">
        <f t="shared" si="2"/>
        <v/>
      </c>
    </row>
    <row r="34" spans="1:33" ht="20.100000000000001" customHeight="1" x14ac:dyDescent="0.3">
      <c r="A34" s="3">
        <v>16</v>
      </c>
      <c r="B34" s="914"/>
      <c r="C34" s="107"/>
      <c r="D34" s="107"/>
      <c r="E34" s="107"/>
      <c r="F34" s="255"/>
      <c r="G34" s="255"/>
      <c r="H34" s="107"/>
      <c r="I34" s="107"/>
      <c r="J34" s="996"/>
      <c r="K34" s="929"/>
      <c r="L34" s="957"/>
      <c r="M34" s="958"/>
      <c r="N34" s="929"/>
      <c r="O34" s="962"/>
      <c r="P34" s="965"/>
      <c r="Q34" s="968" t="str">
        <f t="shared" si="0"/>
        <v/>
      </c>
      <c r="R34" s="943"/>
      <c r="S34" s="914"/>
      <c r="T34" s="107"/>
      <c r="U34" s="107"/>
      <c r="V34" s="108"/>
      <c r="W34" s="107"/>
      <c r="X34" s="249"/>
      <c r="Y34" s="249"/>
      <c r="Z34" s="971"/>
      <c r="AA34" s="929"/>
      <c r="AB34" s="977" t="str">
        <f>IF(B34="","",Calculations!AD52)</f>
        <v/>
      </c>
      <c r="AC34" s="28" t="str">
        <f>IF(OR(G34="",S34="",T34="",Q34="",$AF$8="FAIL"),"",Calculations!BG52)</f>
        <v/>
      </c>
      <c r="AD34" s="978" t="e">
        <f>IF(OR(H34="",T34="",#REF!="",#REF!="",$AF$8="FAIL"),"",#REF!)</f>
        <v>#REF!</v>
      </c>
      <c r="AE34" s="79" t="str">
        <f t="shared" si="3"/>
        <v/>
      </c>
      <c r="AF34" s="79" t="str">
        <f t="shared" si="1"/>
        <v/>
      </c>
      <c r="AG34" s="262" t="str">
        <f t="shared" si="2"/>
        <v/>
      </c>
    </row>
    <row r="35" spans="1:33" ht="20.100000000000001" customHeight="1" x14ac:dyDescent="0.3">
      <c r="A35" s="3">
        <v>17</v>
      </c>
      <c r="B35" s="914"/>
      <c r="C35" s="107"/>
      <c r="D35" s="107"/>
      <c r="E35" s="107"/>
      <c r="F35" s="255"/>
      <c r="G35" s="255"/>
      <c r="H35" s="107"/>
      <c r="I35" s="107"/>
      <c r="J35" s="996"/>
      <c r="K35" s="929"/>
      <c r="L35" s="957"/>
      <c r="M35" s="958"/>
      <c r="N35" s="929"/>
      <c r="O35" s="962"/>
      <c r="P35" s="965"/>
      <c r="Q35" s="968" t="str">
        <f t="shared" si="0"/>
        <v/>
      </c>
      <c r="R35" s="943"/>
      <c r="S35" s="914"/>
      <c r="T35" s="107"/>
      <c r="U35" s="107"/>
      <c r="V35" s="108"/>
      <c r="W35" s="107"/>
      <c r="X35" s="249"/>
      <c r="Y35" s="249"/>
      <c r="Z35" s="971"/>
      <c r="AA35" s="929"/>
      <c r="AB35" s="977" t="str">
        <f>IF(B35="","",Calculations!AD53)</f>
        <v/>
      </c>
      <c r="AC35" s="28" t="str">
        <f>IF(OR(G35="",S35="",T35="",Q35="",$AF$8="FAIL"),"",Calculations!BG53)</f>
        <v/>
      </c>
      <c r="AD35" s="978" t="e">
        <f>IF(OR(H35="",T35="",#REF!="",#REF!="",$AF$8="FAIL"),"",#REF!)</f>
        <v>#REF!</v>
      </c>
      <c r="AE35" s="79" t="str">
        <f t="shared" si="3"/>
        <v/>
      </c>
      <c r="AF35" s="79" t="str">
        <f t="shared" si="1"/>
        <v/>
      </c>
      <c r="AG35" s="262" t="str">
        <f t="shared" si="2"/>
        <v/>
      </c>
    </row>
    <row r="36" spans="1:33" ht="20.100000000000001" customHeight="1" x14ac:dyDescent="0.3">
      <c r="A36" s="3">
        <v>18</v>
      </c>
      <c r="B36" s="914"/>
      <c r="C36" s="107"/>
      <c r="D36" s="107"/>
      <c r="E36" s="107"/>
      <c r="F36" s="255"/>
      <c r="G36" s="255"/>
      <c r="H36" s="107"/>
      <c r="I36" s="107"/>
      <c r="J36" s="996"/>
      <c r="K36" s="929"/>
      <c r="L36" s="957"/>
      <c r="M36" s="958"/>
      <c r="N36" s="929"/>
      <c r="O36" s="962"/>
      <c r="P36" s="965"/>
      <c r="Q36" s="968" t="str">
        <f t="shared" si="0"/>
        <v/>
      </c>
      <c r="R36" s="943"/>
      <c r="S36" s="914"/>
      <c r="T36" s="107"/>
      <c r="U36" s="107"/>
      <c r="V36" s="108"/>
      <c r="W36" s="107"/>
      <c r="X36" s="249"/>
      <c r="Y36" s="249"/>
      <c r="Z36" s="971"/>
      <c r="AA36" s="929"/>
      <c r="AB36" s="977" t="str">
        <f>IF(B36="","",Calculations!AD54)</f>
        <v/>
      </c>
      <c r="AC36" s="28" t="str">
        <f>IF(OR(G36="",S36="",T36="",Q36="",$AF$8="FAIL"),"",Calculations!BG54)</f>
        <v/>
      </c>
      <c r="AD36" s="978" t="e">
        <f>IF(OR(H36="",T36="",#REF!="",#REF!="",$AF$8="FAIL"),"",#REF!)</f>
        <v>#REF!</v>
      </c>
      <c r="AE36" s="79" t="str">
        <f t="shared" si="3"/>
        <v/>
      </c>
      <c r="AF36" s="79" t="str">
        <f t="shared" si="1"/>
        <v/>
      </c>
      <c r="AG36" s="262" t="str">
        <f t="shared" si="2"/>
        <v/>
      </c>
    </row>
    <row r="37" spans="1:33" ht="20.100000000000001" customHeight="1" x14ac:dyDescent="0.3">
      <c r="A37" s="3">
        <v>19</v>
      </c>
      <c r="B37" s="914"/>
      <c r="C37" s="107"/>
      <c r="D37" s="107"/>
      <c r="E37" s="107"/>
      <c r="F37" s="255"/>
      <c r="G37" s="255"/>
      <c r="H37" s="107"/>
      <c r="I37" s="107"/>
      <c r="J37" s="996"/>
      <c r="K37" s="929"/>
      <c r="L37" s="957"/>
      <c r="M37" s="958"/>
      <c r="N37" s="929"/>
      <c r="O37" s="962"/>
      <c r="P37" s="965"/>
      <c r="Q37" s="968" t="str">
        <f t="shared" si="0"/>
        <v/>
      </c>
      <c r="R37" s="943"/>
      <c r="S37" s="914"/>
      <c r="T37" s="107"/>
      <c r="U37" s="107"/>
      <c r="V37" s="108"/>
      <c r="W37" s="107"/>
      <c r="X37" s="249"/>
      <c r="Y37" s="249"/>
      <c r="Z37" s="971"/>
      <c r="AA37" s="929"/>
      <c r="AB37" s="977" t="str">
        <f>IF(B37="","",Calculations!AD55)</f>
        <v/>
      </c>
      <c r="AC37" s="28" t="str">
        <f>IF(OR(G37="",S37="",T37="",Q37="",$AF$8="FAIL"),"",Calculations!BG55)</f>
        <v/>
      </c>
      <c r="AD37" s="978" t="e">
        <f>IF(OR(H37="",T37="",#REF!="",#REF!="",$AF$8="FAIL"),"",#REF!)</f>
        <v>#REF!</v>
      </c>
      <c r="AE37" s="79" t="str">
        <f t="shared" si="3"/>
        <v/>
      </c>
      <c r="AF37" s="79" t="str">
        <f t="shared" si="1"/>
        <v/>
      </c>
      <c r="AG37" s="262" t="str">
        <f t="shared" si="2"/>
        <v/>
      </c>
    </row>
    <row r="38" spans="1:33" ht="20.100000000000001" customHeight="1" x14ac:dyDescent="0.3">
      <c r="A38" s="3">
        <v>20</v>
      </c>
      <c r="B38" s="914"/>
      <c r="C38" s="107"/>
      <c r="D38" s="107"/>
      <c r="E38" s="107"/>
      <c r="F38" s="255"/>
      <c r="G38" s="255"/>
      <c r="H38" s="107"/>
      <c r="I38" s="107"/>
      <c r="J38" s="996"/>
      <c r="K38" s="929"/>
      <c r="L38" s="957"/>
      <c r="M38" s="958"/>
      <c r="N38" s="929"/>
      <c r="O38" s="962"/>
      <c r="P38" s="965"/>
      <c r="Q38" s="968" t="str">
        <f t="shared" si="0"/>
        <v/>
      </c>
      <c r="R38" s="943"/>
      <c r="S38" s="914"/>
      <c r="T38" s="107"/>
      <c r="U38" s="107"/>
      <c r="V38" s="108"/>
      <c r="W38" s="107"/>
      <c r="X38" s="249"/>
      <c r="Y38" s="249"/>
      <c r="Z38" s="971"/>
      <c r="AA38" s="929"/>
      <c r="AB38" s="977" t="str">
        <f>IF(B38="","",Calculations!AD56)</f>
        <v/>
      </c>
      <c r="AC38" s="28" t="str">
        <f>IF(OR(G38="",S38="",T38="",Q38="",$AF$8="FAIL"),"",Calculations!BG56)</f>
        <v/>
      </c>
      <c r="AD38" s="978" t="e">
        <f>IF(OR(H38="",T38="",#REF!="",#REF!="",$AF$8="FAIL"),"",#REF!)</f>
        <v>#REF!</v>
      </c>
      <c r="AE38" s="79" t="str">
        <f t="shared" si="3"/>
        <v/>
      </c>
      <c r="AF38" s="79" t="str">
        <f t="shared" si="1"/>
        <v/>
      </c>
      <c r="AG38" s="262" t="str">
        <f t="shared" si="2"/>
        <v/>
      </c>
    </row>
    <row r="39" spans="1:33" ht="20.100000000000001" customHeight="1" x14ac:dyDescent="0.3">
      <c r="A39" s="3">
        <v>21</v>
      </c>
      <c r="B39" s="914"/>
      <c r="C39" s="107"/>
      <c r="D39" s="107"/>
      <c r="E39" s="107"/>
      <c r="F39" s="255"/>
      <c r="G39" s="255"/>
      <c r="H39" s="107"/>
      <c r="I39" s="107"/>
      <c r="J39" s="996"/>
      <c r="K39" s="929"/>
      <c r="L39" s="957"/>
      <c r="M39" s="958"/>
      <c r="N39" s="929"/>
      <c r="O39" s="962"/>
      <c r="P39" s="965"/>
      <c r="Q39" s="968" t="str">
        <f t="shared" si="0"/>
        <v/>
      </c>
      <c r="R39" s="943"/>
      <c r="S39" s="914"/>
      <c r="T39" s="107"/>
      <c r="U39" s="107"/>
      <c r="V39" s="108"/>
      <c r="W39" s="107"/>
      <c r="X39" s="249"/>
      <c r="Y39" s="249"/>
      <c r="Z39" s="971"/>
      <c r="AA39" s="929"/>
      <c r="AB39" s="977" t="str">
        <f>IF(B39="","",Calculations!AD57)</f>
        <v/>
      </c>
      <c r="AC39" s="28" t="str">
        <f>IF(OR(G39="",S39="",T39="",Q39="",$AF$8="FAIL"),"",Calculations!BG57)</f>
        <v/>
      </c>
      <c r="AD39" s="978" t="e">
        <f>IF(OR(H39="",T39="",#REF!="",#REF!="",$AF$8="FAIL"),"",#REF!)</f>
        <v>#REF!</v>
      </c>
      <c r="AE39" s="79" t="str">
        <f t="shared" si="3"/>
        <v/>
      </c>
      <c r="AF39" s="79" t="str">
        <f t="shared" si="1"/>
        <v/>
      </c>
      <c r="AG39" s="262" t="str">
        <f t="shared" si="2"/>
        <v/>
      </c>
    </row>
    <row r="40" spans="1:33" ht="20.100000000000001" customHeight="1" x14ac:dyDescent="0.3">
      <c r="A40" s="3">
        <v>22</v>
      </c>
      <c r="B40" s="914"/>
      <c r="C40" s="107"/>
      <c r="D40" s="107"/>
      <c r="E40" s="107"/>
      <c r="F40" s="255"/>
      <c r="G40" s="255"/>
      <c r="H40" s="107"/>
      <c r="I40" s="107"/>
      <c r="J40" s="996"/>
      <c r="K40" s="929"/>
      <c r="L40" s="957"/>
      <c r="M40" s="958"/>
      <c r="N40" s="929"/>
      <c r="O40" s="962"/>
      <c r="P40" s="965"/>
      <c r="Q40" s="968" t="str">
        <f t="shared" si="0"/>
        <v/>
      </c>
      <c r="R40" s="943"/>
      <c r="S40" s="914"/>
      <c r="T40" s="107"/>
      <c r="U40" s="107"/>
      <c r="V40" s="108"/>
      <c r="W40" s="107"/>
      <c r="X40" s="249"/>
      <c r="Y40" s="249"/>
      <c r="Z40" s="971"/>
      <c r="AA40" s="929"/>
      <c r="AB40" s="977" t="str">
        <f>IF(B40="","",Calculations!AD58)</f>
        <v/>
      </c>
      <c r="AC40" s="28" t="str">
        <f>IF(OR(G40="",S40="",T40="",Q40="",$AF$8="FAIL"),"",Calculations!BG58)</f>
        <v/>
      </c>
      <c r="AD40" s="978" t="e">
        <f>IF(OR(H40="",T40="",#REF!="",#REF!="",$AF$8="FAIL"),"",#REF!)</f>
        <v>#REF!</v>
      </c>
      <c r="AE40" s="79" t="str">
        <f t="shared" si="3"/>
        <v/>
      </c>
      <c r="AF40" s="79" t="str">
        <f t="shared" si="1"/>
        <v/>
      </c>
      <c r="AG40" s="262" t="str">
        <f t="shared" si="2"/>
        <v/>
      </c>
    </row>
    <row r="41" spans="1:33" ht="20.100000000000001" customHeight="1" x14ac:dyDescent="0.3">
      <c r="A41" s="3">
        <v>23</v>
      </c>
      <c r="B41" s="914"/>
      <c r="C41" s="107"/>
      <c r="D41" s="107"/>
      <c r="E41" s="107"/>
      <c r="F41" s="255"/>
      <c r="G41" s="255"/>
      <c r="H41" s="107"/>
      <c r="I41" s="107"/>
      <c r="J41" s="996"/>
      <c r="K41" s="929"/>
      <c r="L41" s="955"/>
      <c r="M41" s="956"/>
      <c r="N41" s="929"/>
      <c r="O41" s="962"/>
      <c r="P41" s="965"/>
      <c r="Q41" s="968" t="str">
        <f t="shared" si="0"/>
        <v/>
      </c>
      <c r="R41" s="943"/>
      <c r="S41" s="914"/>
      <c r="T41" s="107"/>
      <c r="U41" s="107"/>
      <c r="V41" s="108"/>
      <c r="W41" s="107"/>
      <c r="X41" s="249"/>
      <c r="Y41" s="249"/>
      <c r="Z41" s="971"/>
      <c r="AA41" s="929"/>
      <c r="AB41" s="977" t="str">
        <f>IF(B41="","",Calculations!AD59)</f>
        <v/>
      </c>
      <c r="AC41" s="28" t="str">
        <f>IF(OR(G41="",S41="",T41="",Q41="",$AF$8="FAIL"),"",Calculations!BG59)</f>
        <v/>
      </c>
      <c r="AD41" s="978" t="e">
        <f>IF(OR(H41="",T41="",#REF!="",#REF!="",$AF$8="FAIL"),"",#REF!)</f>
        <v>#REF!</v>
      </c>
      <c r="AE41" s="79" t="str">
        <f t="shared" si="3"/>
        <v/>
      </c>
      <c r="AF41" s="79" t="str">
        <f t="shared" si="1"/>
        <v/>
      </c>
      <c r="AG41" s="262" t="str">
        <f t="shared" si="2"/>
        <v/>
      </c>
    </row>
    <row r="42" spans="1:33" ht="20.100000000000001" customHeight="1" x14ac:dyDescent="0.3">
      <c r="A42" s="3">
        <v>24</v>
      </c>
      <c r="B42" s="914"/>
      <c r="C42" s="107"/>
      <c r="D42" s="107"/>
      <c r="E42" s="107"/>
      <c r="F42" s="255"/>
      <c r="G42" s="255"/>
      <c r="H42" s="107"/>
      <c r="I42" s="107"/>
      <c r="J42" s="996"/>
      <c r="K42" s="929"/>
      <c r="L42" s="955"/>
      <c r="M42" s="956"/>
      <c r="N42" s="929"/>
      <c r="O42" s="962"/>
      <c r="P42" s="965"/>
      <c r="Q42" s="968" t="str">
        <f t="shared" si="0"/>
        <v/>
      </c>
      <c r="R42" s="943"/>
      <c r="S42" s="914"/>
      <c r="T42" s="107"/>
      <c r="U42" s="107"/>
      <c r="V42" s="108"/>
      <c r="W42" s="107"/>
      <c r="X42" s="249"/>
      <c r="Y42" s="249"/>
      <c r="Z42" s="971"/>
      <c r="AA42" s="929"/>
      <c r="AB42" s="977" t="str">
        <f>IF(B42="","",Calculations!AD60)</f>
        <v/>
      </c>
      <c r="AC42" s="28" t="str">
        <f>IF(OR(G42="",S42="",T42="",Q42="",$AF$8="FAIL"),"",Calculations!BG60)</f>
        <v/>
      </c>
      <c r="AD42" s="978" t="e">
        <f>IF(OR(H42="",T42="",#REF!="",#REF!="",$AF$8="FAIL"),"",#REF!)</f>
        <v>#REF!</v>
      </c>
      <c r="AE42" s="79" t="str">
        <f t="shared" si="3"/>
        <v/>
      </c>
      <c r="AF42" s="79" t="str">
        <f t="shared" si="1"/>
        <v/>
      </c>
      <c r="AG42" s="262" t="str">
        <f t="shared" si="2"/>
        <v/>
      </c>
    </row>
    <row r="43" spans="1:33" ht="20.100000000000001" customHeight="1" thickBot="1" x14ac:dyDescent="0.35">
      <c r="A43" s="3">
        <v>25</v>
      </c>
      <c r="B43" s="915"/>
      <c r="C43" s="916"/>
      <c r="D43" s="916"/>
      <c r="E43" s="916"/>
      <c r="F43" s="917"/>
      <c r="G43" s="917"/>
      <c r="H43" s="916"/>
      <c r="I43" s="916"/>
      <c r="J43" s="997"/>
      <c r="K43" s="929"/>
      <c r="L43" s="959"/>
      <c r="M43" s="960"/>
      <c r="N43" s="929"/>
      <c r="O43" s="963"/>
      <c r="P43" s="966"/>
      <c r="Q43" s="969" t="str">
        <f t="shared" si="0"/>
        <v/>
      </c>
      <c r="R43" s="943"/>
      <c r="S43" s="915"/>
      <c r="T43" s="916"/>
      <c r="U43" s="916"/>
      <c r="V43" s="972"/>
      <c r="W43" s="916"/>
      <c r="X43" s="973"/>
      <c r="Y43" s="973"/>
      <c r="Z43" s="974"/>
      <c r="AA43" s="929"/>
      <c r="AB43" s="979" t="str">
        <f>IF(B43="","",Calculations!AD61)</f>
        <v/>
      </c>
      <c r="AC43" s="980" t="str">
        <f>IF(OR(G43="",S43="",T43="",Q43="",$AF$8="FAIL"),"",Calculations!BG61)</f>
        <v/>
      </c>
      <c r="AD43" s="981" t="e">
        <f>IF(OR(H43="",T43="",#REF!="",#REF!="",$AF$8="FAIL"),"",#REF!)</f>
        <v>#REF!</v>
      </c>
      <c r="AE43" s="79" t="str">
        <f t="shared" si="3"/>
        <v/>
      </c>
      <c r="AF43" s="79" t="str">
        <f t="shared" si="1"/>
        <v/>
      </c>
      <c r="AG43" s="262" t="str">
        <f t="shared" si="2"/>
        <v/>
      </c>
    </row>
    <row r="45" spans="1:33" x14ac:dyDescent="0.3">
      <c r="A45" s="87"/>
    </row>
    <row r="46" spans="1:33" ht="33" customHeight="1" x14ac:dyDescent="0.3"/>
    <row r="51" spans="1:30" x14ac:dyDescent="0.3">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row>
    <row r="52" spans="1:30" x14ac:dyDescent="0.3">
      <c r="B52" s="128" t="s">
        <v>426</v>
      </c>
      <c r="C52" s="87" t="str">
        <f>Development!$B$6&amp;"_"&amp;Development!$B$5</f>
        <v>4.1.25_2.0</v>
      </c>
      <c r="D52" s="87"/>
      <c r="E52" s="87"/>
      <c r="F52" s="87"/>
      <c r="G52" s="87"/>
      <c r="H52" s="87"/>
      <c r="I52" s="87"/>
      <c r="J52" s="87"/>
      <c r="K52" s="87"/>
      <c r="L52" s="87"/>
      <c r="M52" s="87"/>
      <c r="N52" s="87"/>
      <c r="O52" s="87"/>
      <c r="P52" s="87"/>
      <c r="Q52" s="87"/>
      <c r="R52" s="87"/>
      <c r="S52" s="87"/>
      <c r="T52" s="87"/>
      <c r="U52" s="87"/>
      <c r="V52" s="87"/>
      <c r="W52" s="87"/>
      <c r="X52" s="87"/>
      <c r="Y52" s="87"/>
      <c r="Z52" s="87"/>
      <c r="AA52" s="87"/>
      <c r="AB52" s="88" t="s">
        <v>427</v>
      </c>
      <c r="AC52" s="131" t="str">
        <f>Development!B6</f>
        <v>4.1.25</v>
      </c>
      <c r="AD52" s="131"/>
    </row>
  </sheetData>
  <sheetProtection algorithmName="SHA-512" hashValue="siaUiwFEBxILG+KvQhv/Asyc66h7ksRiAqApo58gJHUAk2tofxEdlXfDwpE+6dKWxbd8d1k5kOLwrmeoX+lfOA==" saltValue="fOecTpD7USPtpfdBLkIZSw==" spinCount="100000" sheet="1" objects="1" scenarios="1"/>
  <dataConsolidate link="1"/>
  <mergeCells count="19">
    <mergeCell ref="B1:E1"/>
    <mergeCell ref="B2:E2"/>
    <mergeCell ref="AB7:AC8"/>
    <mergeCell ref="O12:Q12"/>
    <mergeCell ref="G12:H12"/>
    <mergeCell ref="D12:F12"/>
    <mergeCell ref="B11:J11"/>
    <mergeCell ref="I12:J12"/>
    <mergeCell ref="L16:M16"/>
    <mergeCell ref="AB16:AD16"/>
    <mergeCell ref="O16:Q16"/>
    <mergeCell ref="S16:Z16"/>
    <mergeCell ref="G14:H14"/>
    <mergeCell ref="D13:F13"/>
    <mergeCell ref="D14:F14"/>
    <mergeCell ref="I13:J13"/>
    <mergeCell ref="I14:J14"/>
    <mergeCell ref="B16:J16"/>
    <mergeCell ref="G13:H13"/>
  </mergeCells>
  <conditionalFormatting sqref="H19:H43">
    <cfRule type="expression" dxfId="17" priority="13" stopIfTrue="1">
      <formula>#REF!=2</formula>
    </cfRule>
    <cfRule type="expression" dxfId="16" priority="14" stopIfTrue="1">
      <formula>#REF!=5</formula>
    </cfRule>
  </conditionalFormatting>
  <conditionalFormatting sqref="V19:V43">
    <cfRule type="expression" dxfId="15" priority="114" stopIfTrue="1">
      <formula>OR(#REF!=1,#REF!=3,#REF!=6)</formula>
    </cfRule>
    <cfRule type="expression" dxfId="14" priority="115" stopIfTrue="1">
      <formula>#REF!=""</formula>
    </cfRule>
  </conditionalFormatting>
  <conditionalFormatting sqref="X19:X43">
    <cfRule type="expression" dxfId="13" priority="11" stopIfTrue="1">
      <formula>AND(OR(#REF!=3,#REF!=4,#REF!=6),OR($T19="Electric",$T19="Other"))</formula>
    </cfRule>
  </conditionalFormatting>
  <conditionalFormatting sqref="X19:Z43">
    <cfRule type="expression" dxfId="12" priority="15" stopIfTrue="1">
      <formula>#REF!=""</formula>
    </cfRule>
  </conditionalFormatting>
  <conditionalFormatting sqref="Y19:Y43">
    <cfRule type="expression" dxfId="11" priority="10">
      <formula>OR($T19="Other",$T19="Electric")</formula>
    </cfRule>
  </conditionalFormatting>
  <conditionalFormatting sqref="Z19:Z43">
    <cfRule type="expression" dxfId="10" priority="12" stopIfTrue="1">
      <formula>AND($T19&lt;&gt;"Electric",$T19&lt;&gt;"None")</formula>
    </cfRule>
  </conditionalFormatting>
  <conditionalFormatting sqref="AB7">
    <cfRule type="expression" dxfId="9" priority="35" stopIfTrue="1">
      <formula>$AG$10="Ineligible"</formula>
    </cfRule>
  </conditionalFormatting>
  <conditionalFormatting sqref="AC19:AD43">
    <cfRule type="expression" dxfId="8" priority="36" stopIfTrue="1">
      <formula>$Q19=""</formula>
    </cfRule>
  </conditionalFormatting>
  <conditionalFormatting sqref="AE3:AE4 AB7">
    <cfRule type="expression" dxfId="7" priority="34" stopIfTrue="1">
      <formula>$AF$3="Total Expected Rebate has been capped at 70% of Total Estimated Cost"</formula>
    </cfRule>
  </conditionalFormatting>
  <dataValidations count="7">
    <dataValidation operator="lessThan" allowBlank="1" showInputMessage="1" showErrorMessage="1" error="Units 63 tons or larger must be submitted through the Custom Rebate Program." sqref="F19:F43" xr:uid="{E965F2A4-0DA1-418F-AC2B-3F5AD68E2A7D}"/>
    <dataValidation type="decimal" allowBlank="1" showInputMessage="1" showErrorMessage="1" sqref="I19:I43" xr:uid="{BCB89EA4-50E5-420F-ABF7-FD18A879ABF7}">
      <formula1>0</formula1>
      <formula2>35</formula2>
    </dataValidation>
    <dataValidation type="decimal" operator="greaterThanOrEqual" allowBlank="1" showInputMessage="1" showErrorMessage="1" sqref="R18:R43 Q18 X18:AA43 F18:G18 U18:W18 J18:P43" xr:uid="{482DE812-D869-41A5-9958-204AC56B3CBD}">
      <formula1>0</formula1>
    </dataValidation>
    <dataValidation operator="greaterThanOrEqual" allowBlank="1" showInputMessage="1" showErrorMessage="1" sqref="Q19:Q43 S18:T18 AB18:AB43" xr:uid="{DCD3EBD4-672B-41B9-BBCE-8E61C2D55655}"/>
    <dataValidation type="decimal" allowBlank="1" showInputMessage="1" showErrorMessage="1" sqref="V19:V43 H18:H43" xr:uid="{3DFC748B-ADEE-40C0-A740-05B8C96799AF}">
      <formula1>0</formula1>
      <formula2>30</formula2>
    </dataValidation>
    <dataValidation type="decimal" allowBlank="1" showInputMessage="1" showErrorMessage="1" sqref="I18 W19:W43" xr:uid="{60ECEF80-5BF5-4BBF-8346-0BEEE0120426}">
      <formula1>0</formula1>
      <formula2>15</formula2>
    </dataValidation>
    <dataValidation type="whole" operator="lessThanOrEqual" allowBlank="1" showInputMessage="1" showErrorMessage="1" errorTitle="Heating Capacity" error="If 17F Rated Heated Capacity is over 300,000 BTU, Project should go Custom" sqref="G19:G43" xr:uid="{8C58C61F-91CF-4378-BD1D-38D50CB8C3D2}">
      <formula1>300000</formula1>
    </dataValidation>
  </dataValidations>
  <hyperlinks>
    <hyperlink ref="E10:F10" r:id="rId1" display="https:\\nyserda.ny.gov/qualified-integrated-controls" xr:uid="{A79A2982-F711-4177-A718-CD88B8C01783}"/>
  </hyperlinks>
  <pageMargins left="0.7" right="0.7" top="0.75" bottom="0.75" header="0.3" footer="0.3"/>
  <pageSetup paperSize="5" scale="39" fitToHeight="3" orientation="landscape"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controls>
    <mc:AlternateContent xmlns:mc="http://schemas.openxmlformats.org/markup-compatibility/2006">
      <mc:Choice Requires="x14">
        <control shapeId="43009" r:id="rId5" name="CommandButton1">
          <controlPr defaultSize="0" autoLine="0" autoPict="0" r:id="rId6">
            <anchor>
              <from>
                <xdr:col>20</xdr:col>
                <xdr:colOff>333375</xdr:colOff>
                <xdr:row>9</xdr:row>
                <xdr:rowOff>133350</xdr:rowOff>
              </from>
              <to>
                <xdr:col>22</xdr:col>
                <xdr:colOff>323850</xdr:colOff>
                <xdr:row>11</xdr:row>
                <xdr:rowOff>38100</xdr:rowOff>
              </to>
            </anchor>
          </controlPr>
        </control>
      </mc:Choice>
      <mc:Fallback>
        <control shapeId="43009" r:id="rId5" name="CommandButton1"/>
      </mc:Fallback>
    </mc:AlternateContent>
    <mc:AlternateContent xmlns:mc="http://schemas.openxmlformats.org/markup-compatibility/2006">
      <mc:Choice Requires="x14">
        <control shapeId="43010" r:id="rId7" name="Group Box 2">
          <controlPr defaultSize="0" autoFill="0" autoPict="0">
            <anchor moveWithCells="1">
              <from>
                <xdr:col>18</xdr:col>
                <xdr:colOff>0</xdr:colOff>
                <xdr:row>2</xdr:row>
                <xdr:rowOff>657225</xdr:rowOff>
              </from>
              <to>
                <xdr:col>20</xdr:col>
                <xdr:colOff>438150</xdr:colOff>
                <xdr:row>8</xdr:row>
                <xdr:rowOff>9525</xdr:rowOff>
              </to>
            </anchor>
          </controlPr>
        </control>
      </mc:Choice>
    </mc:AlternateContent>
  </controls>
  <extLst>
    <ext xmlns:x14="http://schemas.microsoft.com/office/spreadsheetml/2009/9/main" uri="{CCE6A557-97BC-4b89-ADB6-D9C93CAAB3DF}">
      <x14:dataValidations xmlns:xm="http://schemas.microsoft.com/office/excel/2006/main" count="5">
        <x14:dataValidation type="list" allowBlank="1" showInputMessage="1" showErrorMessage="1" xr:uid="{BFF491CF-583A-40B9-B698-A8EF147F77AF}">
          <x14:formula1>
            <xm:f>'HVAC References'!$N$224:$N$227</xm:f>
          </x14:formula1>
          <xm:sqref>B14</xm:sqref>
        </x14:dataValidation>
        <x14:dataValidation type="list" allowBlank="1" showInputMessage="1" showErrorMessage="1" xr:uid="{6B836005-F156-4C3F-B0B0-68F8698A5EA5}">
          <x14:formula1>
            <xm:f>'HVAC References'!$B$209:$B$211</xm:f>
          </x14:formula1>
          <xm:sqref>B20:B43 B19</xm:sqref>
        </x14:dataValidation>
        <x14:dataValidation type="list" operator="greaterThanOrEqual" allowBlank="1" showInputMessage="1" showErrorMessage="1" xr:uid="{346B09BC-3D61-4846-9983-71B1400F9F84}">
          <x14:formula1>
            <xm:f>OFFSET('HVAC References'!$F$209:$O$211,MATCH(B19,'HVAC References'!$F$209:$F$211,0)-1,3,1,7)</xm:f>
          </x14:formula1>
          <xm:sqref>S20:S43 S19</xm:sqref>
        </x14:dataValidation>
        <x14:dataValidation type="list" operator="greaterThanOrEqual" allowBlank="1" showInputMessage="1" showErrorMessage="1" xr:uid="{0102E6A9-BE52-4EF2-B2AD-A83953A751D9}">
          <x14:formula1>
            <xm:f>'HVAC References'!$B$215:$B$221</xm:f>
          </x14:formula1>
          <xm:sqref>T20:T43 T19</xm:sqref>
        </x14:dataValidation>
        <x14:dataValidation type="list" allowBlank="1" showInputMessage="1" showErrorMessage="1" xr:uid="{938D5DDC-6F11-4F38-BE51-7F4E2857E3B5}">
          <x14:formula1>
            <xm:f>'HVAC References'!$T$230:$T$243</xm:f>
          </x14:formula1>
          <xm:sqref>O12:Q12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1AA2F-7703-4112-8AB1-69121810066D}">
  <sheetPr codeName="Sheet20">
    <tabColor rgb="FF142D42"/>
    <pageSetUpPr fitToPage="1"/>
  </sheetPr>
  <dimension ref="A1:AJ68"/>
  <sheetViews>
    <sheetView showGridLines="0" zoomScaleNormal="100" workbookViewId="0"/>
  </sheetViews>
  <sheetFormatPr defaultColWidth="0" defaultRowHeight="16.5" x14ac:dyDescent="0.3"/>
  <cols>
    <col min="1" max="1" width="3.7109375" style="2" customWidth="1"/>
    <col min="2" max="2" width="38.85546875" style="2" bestFit="1" customWidth="1"/>
    <col min="3" max="3" width="26.140625" style="2" bestFit="1" customWidth="1"/>
    <col min="4" max="4" width="21.5703125" style="2" bestFit="1" customWidth="1"/>
    <col min="5" max="5" width="23.5703125" style="2" customWidth="1"/>
    <col min="6" max="6" width="20.28515625" style="2" customWidth="1"/>
    <col min="7" max="7" width="30.28515625" style="2" customWidth="1"/>
    <col min="8" max="8" width="34.140625" style="2" bestFit="1" customWidth="1"/>
    <col min="9" max="9" width="34.140625" style="2" customWidth="1"/>
    <col min="10" max="10" width="5.42578125" style="2" customWidth="1"/>
    <col min="11" max="11" width="15.42578125" style="2" bestFit="1" customWidth="1"/>
    <col min="12" max="12" width="14.85546875" style="2" customWidth="1"/>
    <col min="13" max="13" width="12.5703125" style="2" customWidth="1"/>
    <col min="14" max="14" width="8.85546875" style="2" customWidth="1"/>
    <col min="15" max="15" width="38.42578125" style="2" customWidth="1"/>
    <col min="16" max="16" width="16.42578125" style="2" customWidth="1"/>
    <col min="17" max="17" width="24.28515625" style="2" customWidth="1"/>
    <col min="18" max="18" width="13.28515625" style="2" customWidth="1"/>
    <col min="19" max="19" width="11.85546875" style="2" customWidth="1"/>
    <col min="20" max="20" width="15.85546875" style="2" customWidth="1"/>
    <col min="21" max="21" width="21.85546875" style="2" customWidth="1"/>
    <col min="22" max="22" width="12.7109375" style="2" customWidth="1"/>
    <col min="23" max="23" width="16.140625" style="2" customWidth="1"/>
    <col min="24" max="24" width="4.5703125" style="2" customWidth="1"/>
    <col min="25" max="25" width="9.140625" style="2" customWidth="1"/>
    <col min="26" max="26" width="4.140625" style="2" customWidth="1"/>
    <col min="27" max="29" width="10.5703125" style="2" hidden="1" customWidth="1"/>
    <col min="30" max="30" width="8.5703125" style="2" hidden="1" customWidth="1"/>
    <col min="31" max="31" width="2.5703125" style="2" hidden="1" customWidth="1"/>
    <col min="32" max="32" width="25.7109375" style="2" hidden="1" customWidth="1"/>
    <col min="33" max="33" width="21" style="2" hidden="1" customWidth="1"/>
    <col min="34" max="34" width="9" style="2" hidden="1" customWidth="1"/>
    <col min="35" max="36" width="11.42578125" style="2" hidden="1" customWidth="1"/>
    <col min="37" max="16384" width="16.5703125" style="2" hidden="1"/>
  </cols>
  <sheetData>
    <row r="1" spans="1:35" s="263" customFormat="1" ht="50.1" customHeight="1" x14ac:dyDescent="0.3">
      <c r="A1" s="320"/>
      <c r="B1" s="1189" t="str">
        <f>Development!B4&amp;" "&amp; "Commercial Efficiency Program"</f>
        <v>2025 Commercial Efficiency Program</v>
      </c>
      <c r="C1" s="1189"/>
      <c r="D1" s="1189"/>
      <c r="E1" s="1189"/>
      <c r="F1" s="1189"/>
      <c r="G1" s="1189"/>
      <c r="H1" s="1189"/>
      <c r="I1" s="1189"/>
      <c r="J1" s="1189"/>
      <c r="K1" s="1189"/>
      <c r="L1" s="1189"/>
      <c r="M1" s="1189"/>
      <c r="N1" s="334"/>
      <c r="O1" s="347"/>
      <c r="P1" s="347"/>
      <c r="Q1" s="347"/>
      <c r="R1" s="347"/>
      <c r="S1" s="348"/>
      <c r="T1" s="348"/>
      <c r="U1" s="348"/>
      <c r="V1" s="348"/>
      <c r="W1" s="348"/>
      <c r="X1" s="336"/>
      <c r="Y1"/>
      <c r="Z1"/>
      <c r="AA1" s="268"/>
      <c r="AB1" s="268"/>
      <c r="AC1" s="268"/>
      <c r="AD1" s="268"/>
      <c r="AE1" s="268"/>
      <c r="AF1" s="268"/>
    </row>
    <row r="2" spans="1:35" s="264" customFormat="1" ht="50.1" customHeight="1" thickBot="1" x14ac:dyDescent="0.35">
      <c r="A2" s="1046"/>
      <c r="B2" s="1145" t="str">
        <f>"     "&amp;" Ventilation, Version"&amp;" "&amp;Development!B5</f>
        <v xml:space="preserve">      Ventilation, Version 2.0</v>
      </c>
      <c r="C2" s="1145"/>
      <c r="D2" s="1145"/>
      <c r="E2" s="1145"/>
      <c r="F2" s="1145"/>
      <c r="G2" s="1145"/>
      <c r="H2" s="1145"/>
      <c r="I2" s="1145"/>
      <c r="J2" s="1145"/>
      <c r="K2" s="1145"/>
      <c r="L2" s="1145"/>
      <c r="M2" s="1145"/>
      <c r="N2" s="1047"/>
      <c r="O2" s="1048"/>
      <c r="P2" s="1048"/>
      <c r="Q2" s="1048"/>
      <c r="R2" s="1048"/>
      <c r="S2" s="1049"/>
      <c r="T2" s="1049"/>
      <c r="U2" s="1049"/>
      <c r="V2" s="1049"/>
      <c r="W2" s="1049"/>
      <c r="X2" s="1053"/>
      <c r="Y2" s="1053"/>
      <c r="Z2" s="1053"/>
      <c r="AA2" s="269"/>
      <c r="AB2" s="269"/>
      <c r="AC2" s="269"/>
      <c r="AD2" s="269"/>
      <c r="AE2" s="269"/>
      <c r="AF2" s="269"/>
    </row>
    <row r="3" spans="1:35" s="270" customFormat="1" ht="21" customHeight="1" thickTop="1" x14ac:dyDescent="0.3">
      <c r="B3" s="271"/>
      <c r="C3" s="271"/>
      <c r="D3" s="271"/>
      <c r="E3" s="271"/>
      <c r="F3" s="271"/>
      <c r="G3" s="271"/>
      <c r="H3" s="271"/>
      <c r="I3" s="271"/>
      <c r="J3" s="271"/>
      <c r="K3" s="271"/>
      <c r="L3" s="271"/>
      <c r="M3" s="271"/>
      <c r="N3" s="271"/>
      <c r="O3" s="271"/>
      <c r="P3" s="271"/>
      <c r="Q3" s="271"/>
      <c r="R3" s="271"/>
      <c r="S3" s="271"/>
      <c r="T3" s="271"/>
      <c r="U3" s="271"/>
      <c r="V3" s="271"/>
      <c r="W3" s="271"/>
      <c r="X3" s="271"/>
      <c r="Y3"/>
      <c r="Z3"/>
      <c r="AB3" s="272"/>
      <c r="AC3" s="272"/>
      <c r="AD3" s="272"/>
      <c r="AE3" s="272"/>
      <c r="AF3" s="272"/>
    </row>
    <row r="4" spans="1:35" s="270" customFormat="1" ht="17.45" customHeight="1" x14ac:dyDescent="0.3">
      <c r="B4" s="271"/>
      <c r="C4" s="271"/>
      <c r="D4" s="271"/>
      <c r="E4" s="271"/>
      <c r="F4" s="271"/>
      <c r="G4" s="271"/>
      <c r="H4" s="271"/>
      <c r="I4" s="271"/>
      <c r="J4" s="271"/>
      <c r="K4" s="271"/>
      <c r="L4" s="271"/>
      <c r="M4" s="271"/>
      <c r="N4" s="271"/>
      <c r="O4" s="271"/>
      <c r="P4" s="271"/>
      <c r="Q4" s="271"/>
      <c r="R4" s="271"/>
      <c r="S4" s="271"/>
      <c r="T4" s="271"/>
      <c r="U4" s="1250" t="s">
        <v>385</v>
      </c>
      <c r="V4" s="1251"/>
      <c r="W4" s="271"/>
      <c r="X4" s="271"/>
      <c r="Y4"/>
      <c r="Z4"/>
      <c r="AB4" s="272"/>
      <c r="AC4" s="272"/>
      <c r="AD4" s="272"/>
      <c r="AE4" s="272"/>
      <c r="AF4" s="272"/>
    </row>
    <row r="5" spans="1:35" ht="22.35" customHeight="1" x14ac:dyDescent="0.3">
      <c r="B5" s="77"/>
      <c r="C5" s="76"/>
      <c r="U5" s="1252"/>
      <c r="V5" s="1253"/>
      <c r="Y5"/>
      <c r="Z5"/>
      <c r="AH5" s="209"/>
    </row>
    <row r="6" spans="1:35" ht="16.5" customHeight="1" x14ac:dyDescent="0.3">
      <c r="U6" s="284" t="s">
        <v>386</v>
      </c>
      <c r="V6" s="288" t="str">
        <f>IF(Summary!H71=0,"",Summary!H71)</f>
        <v/>
      </c>
      <c r="AH6" s="209"/>
    </row>
    <row r="7" spans="1:35" ht="16.5" customHeight="1" x14ac:dyDescent="0.3">
      <c r="B7" s="1" t="s">
        <v>0</v>
      </c>
      <c r="C7" s="1214" t="str">
        <f>IF('Customer Information'!$C$6="","",'Customer Information'!$C$6)</f>
        <v/>
      </c>
      <c r="D7" s="1214"/>
      <c r="E7" s="17" t="s">
        <v>801</v>
      </c>
      <c r="F7" s="1257" t="str">
        <f>IF('Customer Information'!C16="","",'Customer Information'!C16)</f>
        <v>Select…</v>
      </c>
      <c r="G7" s="1257"/>
      <c r="H7"/>
      <c r="I7"/>
      <c r="J7"/>
      <c r="U7" s="285" t="s">
        <v>387</v>
      </c>
      <c r="V7" s="289" t="str">
        <f>IF(Summary!I71=0,"",Summary!I71)</f>
        <v/>
      </c>
      <c r="AH7" s="82"/>
    </row>
    <row r="8" spans="1:35" ht="16.5" customHeight="1" x14ac:dyDescent="0.3">
      <c r="B8" s="1" t="s">
        <v>2</v>
      </c>
      <c r="C8" s="1214" t="str">
        <f>IF('Customer Information'!$C$7="","",'Customer Information'!$C$7)</f>
        <v/>
      </c>
      <c r="D8" s="1214"/>
      <c r="E8" s="1" t="s">
        <v>1</v>
      </c>
      <c r="F8" s="1258" t="str">
        <f>IF('Customer Information'!$C$5="","",'Customer Information'!$C$5)</f>
        <v/>
      </c>
      <c r="G8" s="1258"/>
      <c r="H8"/>
      <c r="I8"/>
      <c r="J8"/>
      <c r="U8" s="285" t="s">
        <v>943</v>
      </c>
      <c r="V8" s="290" t="str">
        <f>IF(Summary!J71=0,"",Summary!J71)</f>
        <v/>
      </c>
      <c r="AH8" s="82"/>
    </row>
    <row r="9" spans="1:35" x14ac:dyDescent="0.3">
      <c r="B9" s="1" t="s">
        <v>3</v>
      </c>
      <c r="C9" s="1214" t="str">
        <f>IF(AND('Customer Information'!$I$7="",'Customer Information'!$L$7=""),"",CONCATENATE('Customer Information'!$I$7,", NY ",'Customer Information'!$L$7))</f>
        <v/>
      </c>
      <c r="D9" s="1214"/>
      <c r="E9" s="1" t="s">
        <v>4</v>
      </c>
      <c r="F9" s="1259" t="str">
        <f>IF('Customer Information'!$K$9="","",'Customer Information'!$K$9)</f>
        <v/>
      </c>
      <c r="G9" s="1259"/>
      <c r="H9"/>
      <c r="I9"/>
      <c r="J9"/>
      <c r="U9" s="286" t="s">
        <v>375</v>
      </c>
      <c r="V9" s="291" t="str">
        <f>IF(Summary!$K$71=0,"",SUM(Calculations!AM68:AM77,Calculations!AD84:AD93,Calculations!W99:W103))</f>
        <v/>
      </c>
      <c r="AH9" s="82"/>
    </row>
    <row r="10" spans="1:35" x14ac:dyDescent="0.3">
      <c r="B10" s="1" t="s">
        <v>5</v>
      </c>
      <c r="C10" s="1214" t="str">
        <f>IF('Customer Information'!$C$10="","",'Customer Information'!$C$10)</f>
        <v/>
      </c>
      <c r="D10" s="1214"/>
      <c r="E10" s="1" t="s">
        <v>8</v>
      </c>
      <c r="F10" s="1259" t="str">
        <f>IF('Customer Information'!$K$10="","",'Customer Information'!$K$10)</f>
        <v/>
      </c>
      <c r="G10" s="1259"/>
      <c r="H10"/>
      <c r="I10"/>
      <c r="J10"/>
      <c r="U10" s="287" t="s">
        <v>536</v>
      </c>
      <c r="V10" s="291" t="str">
        <f>IF(Summary!$K$71=0,"",SUM(Calculations!AN68:AN77,Calculations!$AE$83:$AE$93,Calculations!X99:X103))</f>
        <v/>
      </c>
      <c r="AH10" s="82"/>
    </row>
    <row r="11" spans="1:35" x14ac:dyDescent="0.3">
      <c r="B11" s="1" t="s">
        <v>7</v>
      </c>
      <c r="C11" s="1214" t="str">
        <f>IF('Customer Information'!$C$11="","",'Customer Information'!$C$11)</f>
        <v/>
      </c>
      <c r="D11" s="1214"/>
      <c r="E11" s="1" t="s">
        <v>6</v>
      </c>
      <c r="F11" s="1259" t="str">
        <f>IF('Customer Information'!$K$11="","",'Customer Information'!$K$11)</f>
        <v/>
      </c>
      <c r="G11" s="1259"/>
      <c r="H11"/>
      <c r="I11"/>
      <c r="J11"/>
      <c r="T11" s="232" t="str">
        <f>IF(V9="","",IF(V10&lt;V9,"*The Estimated Rebate has been capped at 70% of the Total Project Cost*",""))</f>
        <v/>
      </c>
      <c r="AH11" s="81"/>
      <c r="AI11" s="78" t="e">
        <f>IF(V9=0,"",V10/V9)</f>
        <v>#VALUE!</v>
      </c>
    </row>
    <row r="12" spans="1:35" x14ac:dyDescent="0.3">
      <c r="B12" s="1" t="s">
        <v>687</v>
      </c>
      <c r="C12" s="1214" t="str">
        <f>IF('Customer Information'!$L$42="","",'Customer Information'!$L$42)</f>
        <v/>
      </c>
      <c r="D12" s="1214"/>
      <c r="F12" s="1"/>
      <c r="G12" s="1"/>
      <c r="H12"/>
      <c r="I12"/>
      <c r="J12"/>
      <c r="U12" s="2" t="str">
        <f>IF(OR('Customer Information'!C16="",'Customer Information'!C16="… please select …"),"*Please enter a Building Type*","")</f>
        <v/>
      </c>
    </row>
    <row r="13" spans="1:35" x14ac:dyDescent="0.3">
      <c r="B13" s="1"/>
      <c r="C13" s="227"/>
      <c r="D13" s="227"/>
      <c r="E13" s="1"/>
      <c r="F13" s="1"/>
      <c r="G13" s="1"/>
      <c r="H13" s="1"/>
      <c r="I13" s="1"/>
      <c r="J13" s="1"/>
    </row>
    <row r="14" spans="1:35" ht="18.75" x14ac:dyDescent="0.3">
      <c r="B14" s="1246" t="s">
        <v>1170</v>
      </c>
      <c r="C14" s="1246"/>
      <c r="D14" s="1246"/>
      <c r="E14" s="1246"/>
      <c r="F14" s="1246"/>
      <c r="G14" s="1246"/>
      <c r="H14" s="1246"/>
      <c r="I14" s="1246"/>
      <c r="J14" s="1246"/>
      <c r="K14" s="1246"/>
      <c r="L14" s="1246"/>
      <c r="M14" s="1246"/>
      <c r="N14" s="1246"/>
      <c r="O14" s="1246"/>
      <c r="P14" s="1246"/>
      <c r="Q14" s="1246"/>
      <c r="R14" s="1246"/>
      <c r="S14" s="1246"/>
      <c r="T14" s="1246"/>
      <c r="U14" s="1246"/>
      <c r="V14" s="1246"/>
      <c r="W14" s="1246"/>
    </row>
    <row r="15" spans="1:35" ht="17.25" thickBot="1" x14ac:dyDescent="0.35">
      <c r="B15" s="1"/>
      <c r="C15" s="1"/>
      <c r="D15" s="1"/>
      <c r="E15" s="1"/>
      <c r="F15" s="1"/>
      <c r="G15" s="1"/>
      <c r="H15" s="1"/>
      <c r="I15" s="1"/>
      <c r="J15" s="1"/>
      <c r="P15" s="274"/>
      <c r="X15" s="274"/>
      <c r="Y15" s="274"/>
      <c r="Z15" s="274"/>
      <c r="AA15" s="274"/>
      <c r="AB15" s="274"/>
      <c r="AC15" s="274"/>
      <c r="AD15" s="274"/>
    </row>
    <row r="16" spans="1:35" x14ac:dyDescent="0.3">
      <c r="B16" s="1243" t="s">
        <v>22</v>
      </c>
      <c r="C16" s="1244"/>
      <c r="D16" s="1244"/>
      <c r="E16" s="1244"/>
      <c r="F16" s="1244"/>
      <c r="G16" s="1244"/>
      <c r="H16" s="1244"/>
      <c r="I16" s="1245"/>
      <c r="K16" s="1238" t="s">
        <v>305</v>
      </c>
      <c r="L16" s="1239"/>
      <c r="M16" s="1240"/>
      <c r="O16" s="1243" t="s">
        <v>21</v>
      </c>
      <c r="P16" s="1244"/>
      <c r="Q16" s="1244"/>
      <c r="R16" s="1244"/>
      <c r="S16" s="1244"/>
      <c r="T16" s="1244"/>
      <c r="U16" s="1245"/>
      <c r="V16" s="274"/>
      <c r="W16" s="855" t="s">
        <v>1191</v>
      </c>
      <c r="X16" s="274"/>
      <c r="Y16" s="274"/>
      <c r="Z16" s="274"/>
      <c r="AA16" s="274"/>
      <c r="AB16" s="274"/>
      <c r="AC16" s="274"/>
      <c r="AD16" s="274"/>
    </row>
    <row r="17" spans="1:31" ht="57" customHeight="1" thickBot="1" x14ac:dyDescent="0.35">
      <c r="B17" s="818" t="s">
        <v>9</v>
      </c>
      <c r="C17" s="819" t="s">
        <v>1164</v>
      </c>
      <c r="D17" s="819" t="s">
        <v>1165</v>
      </c>
      <c r="E17" s="819" t="s">
        <v>1166</v>
      </c>
      <c r="F17" s="819" t="s">
        <v>1767</v>
      </c>
      <c r="G17" s="819" t="s">
        <v>1768</v>
      </c>
      <c r="H17" s="819" t="s">
        <v>1833</v>
      </c>
      <c r="I17" s="830" t="s">
        <v>1834</v>
      </c>
      <c r="J17" s="1"/>
      <c r="K17" s="838" t="s">
        <v>306</v>
      </c>
      <c r="L17" s="839" t="s">
        <v>307</v>
      </c>
      <c r="M17" s="840" t="s">
        <v>405</v>
      </c>
      <c r="O17" s="841" t="s">
        <v>1167</v>
      </c>
      <c r="P17" s="842" t="s">
        <v>1168</v>
      </c>
      <c r="Q17" s="842" t="s">
        <v>1190</v>
      </c>
      <c r="R17" s="843" t="s">
        <v>1169</v>
      </c>
      <c r="S17" s="843" t="s">
        <v>1935</v>
      </c>
      <c r="T17" s="843" t="s">
        <v>1936</v>
      </c>
      <c r="U17" s="844" t="s">
        <v>1937</v>
      </c>
      <c r="W17" s="859" t="s">
        <v>19</v>
      </c>
      <c r="Y17" s="274"/>
      <c r="Z17" s="274"/>
      <c r="AA17" s="274"/>
      <c r="AB17" s="274"/>
      <c r="AC17" s="274"/>
      <c r="AD17" s="274"/>
      <c r="AE17" s="274"/>
    </row>
    <row r="18" spans="1:31" s="5" customFormat="1" ht="17.25" thickBot="1" x14ac:dyDescent="0.35">
      <c r="A18" s="296" t="s">
        <v>1204</v>
      </c>
      <c r="B18" s="896" t="s">
        <v>1178</v>
      </c>
      <c r="C18" s="899">
        <v>1000</v>
      </c>
      <c r="D18" s="907">
        <v>0.7</v>
      </c>
      <c r="E18" s="907">
        <v>0.55000000000000004</v>
      </c>
      <c r="F18" s="898">
        <v>1</v>
      </c>
      <c r="G18" s="907">
        <v>0.75</v>
      </c>
      <c r="H18" s="898">
        <v>16</v>
      </c>
      <c r="I18" s="897">
        <v>330</v>
      </c>
      <c r="J18" s="294"/>
      <c r="K18" s="893">
        <v>500</v>
      </c>
      <c r="L18" s="894">
        <v>500</v>
      </c>
      <c r="M18" s="895">
        <f>IF(OR(K18="",L18=""),"",K18+L18)</f>
        <v>1000</v>
      </c>
      <c r="O18" s="896" t="s">
        <v>63</v>
      </c>
      <c r="P18" s="898" t="s">
        <v>748</v>
      </c>
      <c r="Q18" s="898" t="s">
        <v>65</v>
      </c>
      <c r="R18" s="901">
        <v>456</v>
      </c>
      <c r="S18" s="901">
        <v>11</v>
      </c>
      <c r="T18" s="901"/>
      <c r="U18" s="908">
        <v>0.8</v>
      </c>
      <c r="W18" s="903">
        <v>600</v>
      </c>
      <c r="Y18" s="295"/>
      <c r="Z18" s="295"/>
      <c r="AA18" s="295"/>
      <c r="AB18" s="295"/>
      <c r="AC18" s="295"/>
      <c r="AD18" s="295"/>
      <c r="AE18" s="295"/>
    </row>
    <row r="19" spans="1:31" x14ac:dyDescent="0.3">
      <c r="A19" s="2">
        <v>1</v>
      </c>
      <c r="B19" s="821"/>
      <c r="C19" s="824"/>
      <c r="D19" s="831"/>
      <c r="E19" s="831"/>
      <c r="F19" s="822"/>
      <c r="G19" s="832"/>
      <c r="H19" s="822"/>
      <c r="I19" s="833"/>
      <c r="J19" s="1"/>
      <c r="K19" s="875"/>
      <c r="L19" s="876"/>
      <c r="M19" s="879" t="str">
        <f t="shared" ref="M19:M28" si="0">IF(OR(K19="",L19=""),"",K19+L19)</f>
        <v/>
      </c>
      <c r="O19" s="847"/>
      <c r="P19" s="845"/>
      <c r="Q19" s="845"/>
      <c r="R19" s="846"/>
      <c r="S19" s="846"/>
      <c r="T19" s="846"/>
      <c r="U19" s="848"/>
      <c r="W19" s="860" t="str">
        <f>IF(OR(B19="",O19="",P19="",Q19="",S19=""),"",IF(AND(P19&lt;&gt;'HVAC References'!$G$288,U19=""),"Missing AFUE",IF(AND(P19='HVAC References'!$G$288,T19=""),"Missing HSPF",Calculations!AM68)))</f>
        <v/>
      </c>
      <c r="Y19" s="274"/>
      <c r="Z19" s="274"/>
      <c r="AA19" s="274"/>
      <c r="AB19" s="274"/>
      <c r="AC19" s="274"/>
      <c r="AD19" s="274"/>
      <c r="AE19" s="274"/>
    </row>
    <row r="20" spans="1:31" x14ac:dyDescent="0.3">
      <c r="A20" s="2">
        <v>2</v>
      </c>
      <c r="B20" s="812"/>
      <c r="C20" s="306"/>
      <c r="D20" s="303"/>
      <c r="E20" s="303"/>
      <c r="F20" s="302"/>
      <c r="G20" s="690"/>
      <c r="H20" s="302"/>
      <c r="I20" s="826"/>
      <c r="J20" s="1"/>
      <c r="K20" s="836"/>
      <c r="L20" s="877"/>
      <c r="M20" s="880" t="str">
        <f t="shared" si="0"/>
        <v/>
      </c>
      <c r="O20" s="849"/>
      <c r="P20" s="304"/>
      <c r="Q20" s="304"/>
      <c r="R20" s="305"/>
      <c r="S20" s="305"/>
      <c r="T20" s="305"/>
      <c r="U20" s="850"/>
      <c r="W20" s="857" t="str">
        <f>IF(OR(B20="",O20="",P20="",Q20="",S20=""),"",IF(AND(P20&lt;&gt;'HVAC References'!$G$288,U20=""),"Missing AFUE",IF(AND(P20='HVAC References'!$G$288,T20=""),"Missing HSPF",Calculations!AM69)))</f>
        <v/>
      </c>
      <c r="Y20" s="274"/>
      <c r="Z20" s="274"/>
      <c r="AA20" s="274"/>
      <c r="AB20" s="274"/>
      <c r="AC20" s="274"/>
      <c r="AD20" s="274"/>
      <c r="AE20" s="274"/>
    </row>
    <row r="21" spans="1:31" x14ac:dyDescent="0.3">
      <c r="A21" s="2">
        <v>3</v>
      </c>
      <c r="B21" s="812"/>
      <c r="C21" s="306"/>
      <c r="D21" s="303"/>
      <c r="E21" s="303"/>
      <c r="F21" s="302"/>
      <c r="G21" s="690"/>
      <c r="H21" s="302"/>
      <c r="I21" s="826"/>
      <c r="J21" s="1"/>
      <c r="K21" s="836"/>
      <c r="L21" s="877"/>
      <c r="M21" s="880" t="str">
        <f t="shared" si="0"/>
        <v/>
      </c>
      <c r="O21" s="849"/>
      <c r="P21" s="304"/>
      <c r="Q21" s="304"/>
      <c r="R21" s="305"/>
      <c r="S21" s="305"/>
      <c r="T21" s="305"/>
      <c r="U21" s="850"/>
      <c r="W21" s="857" t="str">
        <f>IF(OR(B21="",O21="",P21="",Q21="",S21=""),"",IF(AND(P21&lt;&gt;'HVAC References'!$G$288,U21=""),"Missing AFUE",IF(AND(P21='HVAC References'!$G$288,T21=""),"Missing HSPF",Calculations!AM70)))</f>
        <v/>
      </c>
      <c r="Y21" s="274"/>
      <c r="Z21" s="274"/>
      <c r="AA21" s="274"/>
      <c r="AB21" s="274"/>
      <c r="AC21" s="274"/>
      <c r="AD21" s="274"/>
      <c r="AE21" s="274"/>
    </row>
    <row r="22" spans="1:31" x14ac:dyDescent="0.3">
      <c r="A22" s="2">
        <v>4</v>
      </c>
      <c r="B22" s="812"/>
      <c r="C22" s="306"/>
      <c r="D22" s="303"/>
      <c r="E22" s="303"/>
      <c r="F22" s="302"/>
      <c r="G22" s="690"/>
      <c r="H22" s="302"/>
      <c r="I22" s="826"/>
      <c r="J22" s="1"/>
      <c r="K22" s="836"/>
      <c r="L22" s="877"/>
      <c r="M22" s="880" t="str">
        <f t="shared" si="0"/>
        <v/>
      </c>
      <c r="O22" s="849"/>
      <c r="P22" s="304"/>
      <c r="Q22" s="304"/>
      <c r="R22" s="305"/>
      <c r="S22" s="305"/>
      <c r="T22" s="305"/>
      <c r="U22" s="850"/>
      <c r="W22" s="857" t="str">
        <f>IF(OR(B22="",O22="",P22="",Q22="",S22=""),"",IF(AND(P22&lt;&gt;'HVAC References'!$G$288,U22=""),"Missing AFUE",IF(AND(P22='HVAC References'!$G$288,T22=""),"Missing HSPF",Calculations!AM71)))</f>
        <v/>
      </c>
      <c r="Y22" s="274"/>
      <c r="Z22" s="274"/>
      <c r="AA22" s="274"/>
      <c r="AB22" s="274"/>
      <c r="AC22" s="274"/>
      <c r="AD22" s="274"/>
      <c r="AE22" s="274"/>
    </row>
    <row r="23" spans="1:31" x14ac:dyDescent="0.3">
      <c r="A23" s="2">
        <v>5</v>
      </c>
      <c r="B23" s="812"/>
      <c r="C23" s="306"/>
      <c r="D23" s="303"/>
      <c r="E23" s="303"/>
      <c r="F23" s="302"/>
      <c r="G23" s="690"/>
      <c r="H23" s="302"/>
      <c r="I23" s="826"/>
      <c r="J23" s="1"/>
      <c r="K23" s="836"/>
      <c r="L23" s="877"/>
      <c r="M23" s="880" t="str">
        <f t="shared" si="0"/>
        <v/>
      </c>
      <c r="O23" s="849"/>
      <c r="P23" s="304"/>
      <c r="Q23" s="304"/>
      <c r="R23" s="305"/>
      <c r="S23" s="305"/>
      <c r="T23" s="305"/>
      <c r="U23" s="850"/>
      <c r="W23" s="857" t="str">
        <f>IF(OR(B23="",O23="",P23="",Q23="",S23=""),"",IF(AND(P23&lt;&gt;'HVAC References'!$G$288,U23=""),"Missing AFUE",IF(AND(P23='HVAC References'!$G$288,T23=""),"Missing HSPF",Calculations!AM72)))</f>
        <v/>
      </c>
      <c r="Y23" s="274"/>
      <c r="Z23" s="274"/>
      <c r="AA23" s="274"/>
      <c r="AB23" s="274"/>
      <c r="AC23" s="274"/>
      <c r="AD23" s="274"/>
      <c r="AE23" s="274"/>
    </row>
    <row r="24" spans="1:31" x14ac:dyDescent="0.3">
      <c r="A24" s="2">
        <v>6</v>
      </c>
      <c r="B24" s="812"/>
      <c r="C24" s="306"/>
      <c r="D24" s="303"/>
      <c r="E24" s="303"/>
      <c r="F24" s="302"/>
      <c r="G24" s="690"/>
      <c r="H24" s="302"/>
      <c r="I24" s="826"/>
      <c r="J24" s="1"/>
      <c r="K24" s="836"/>
      <c r="L24" s="877"/>
      <c r="M24" s="880" t="str">
        <f t="shared" si="0"/>
        <v/>
      </c>
      <c r="O24" s="849"/>
      <c r="P24" s="304"/>
      <c r="Q24" s="304"/>
      <c r="R24" s="305"/>
      <c r="S24" s="305"/>
      <c r="T24" s="305"/>
      <c r="U24" s="850"/>
      <c r="W24" s="857" t="str">
        <f>IF(OR(B24="",O24="",P24="",Q24="",S24=""),"",IF(AND(P24&lt;&gt;'HVAC References'!$G$288,U24=""),"Missing AFUE",IF(AND(P24='HVAC References'!$G$288,T24=""),"Missing HSPF",Calculations!AM73)))</f>
        <v/>
      </c>
      <c r="Y24" s="274"/>
      <c r="Z24" s="274"/>
      <c r="AA24" s="274"/>
      <c r="AB24" s="274"/>
      <c r="AC24" s="274"/>
      <c r="AD24" s="274"/>
      <c r="AE24" s="274"/>
    </row>
    <row r="25" spans="1:31" x14ac:dyDescent="0.3">
      <c r="A25" s="2">
        <v>7</v>
      </c>
      <c r="B25" s="812"/>
      <c r="C25" s="306"/>
      <c r="D25" s="303"/>
      <c r="E25" s="303"/>
      <c r="F25" s="302"/>
      <c r="G25" s="690"/>
      <c r="H25" s="302"/>
      <c r="I25" s="826"/>
      <c r="J25" s="1"/>
      <c r="K25" s="836"/>
      <c r="L25" s="877"/>
      <c r="M25" s="880" t="str">
        <f t="shared" si="0"/>
        <v/>
      </c>
      <c r="O25" s="849"/>
      <c r="P25" s="304"/>
      <c r="Q25" s="304"/>
      <c r="R25" s="305"/>
      <c r="S25" s="305"/>
      <c r="T25" s="305"/>
      <c r="U25" s="850"/>
      <c r="W25" s="857" t="str">
        <f>IF(OR(B25="",O25="",P25="",Q25="",S25=""),"",IF(AND(P25&lt;&gt;'HVAC References'!$G$288,U25=""),"Missing AFUE",IF(AND(P25='HVAC References'!$G$288,T25=""),"Missing HSPF",Calculations!AM74)))</f>
        <v/>
      </c>
      <c r="Y25" s="274"/>
      <c r="Z25" s="274"/>
      <c r="AA25" s="274"/>
      <c r="AB25" s="274"/>
      <c r="AC25" s="274"/>
      <c r="AD25" s="274"/>
      <c r="AE25" s="274"/>
    </row>
    <row r="26" spans="1:31" x14ac:dyDescent="0.3">
      <c r="A26" s="2">
        <v>8</v>
      </c>
      <c r="B26" s="812"/>
      <c r="C26" s="306"/>
      <c r="D26" s="303"/>
      <c r="E26" s="303"/>
      <c r="F26" s="302"/>
      <c r="G26" s="690"/>
      <c r="H26" s="302"/>
      <c r="I26" s="826"/>
      <c r="J26" s="1"/>
      <c r="K26" s="836"/>
      <c r="L26" s="877"/>
      <c r="M26" s="880" t="str">
        <f t="shared" si="0"/>
        <v/>
      </c>
      <c r="O26" s="849"/>
      <c r="P26" s="304"/>
      <c r="Q26" s="304"/>
      <c r="R26" s="305"/>
      <c r="S26" s="305"/>
      <c r="T26" s="305"/>
      <c r="U26" s="850"/>
      <c r="W26" s="857" t="str">
        <f>IF(OR(B26="",O26="",P26="",Q26="",S26=""),"",IF(AND(P26&lt;&gt;'HVAC References'!$G$288,U26=""),"Missing AFUE",IF(AND(P26='HVAC References'!$G$288,T26=""),"Missing HSPF",Calculations!AM75)))</f>
        <v/>
      </c>
      <c r="Y26" s="274"/>
      <c r="Z26" s="274"/>
      <c r="AA26" s="274"/>
      <c r="AB26" s="274"/>
      <c r="AC26" s="274"/>
      <c r="AD26" s="274"/>
      <c r="AE26" s="274"/>
    </row>
    <row r="27" spans="1:31" x14ac:dyDescent="0.3">
      <c r="A27" s="2">
        <v>9</v>
      </c>
      <c r="B27" s="812"/>
      <c r="C27" s="306"/>
      <c r="D27" s="303"/>
      <c r="E27" s="303"/>
      <c r="F27" s="302"/>
      <c r="G27" s="690"/>
      <c r="H27" s="302"/>
      <c r="I27" s="826"/>
      <c r="J27" s="1"/>
      <c r="K27" s="836"/>
      <c r="L27" s="877"/>
      <c r="M27" s="880" t="str">
        <f t="shared" si="0"/>
        <v/>
      </c>
      <c r="O27" s="849"/>
      <c r="P27" s="304"/>
      <c r="Q27" s="304"/>
      <c r="R27" s="305"/>
      <c r="S27" s="305"/>
      <c r="T27" s="305"/>
      <c r="U27" s="850"/>
      <c r="W27" s="857" t="str">
        <f>IF(OR(B27="",O27="",P27="",Q27="",S27=""),"",IF(AND(P27&lt;&gt;'HVAC References'!$G$288,U27=""),"Missing AFUE",IF(AND(P27='HVAC References'!$G$288,T27=""),"Missing HSPF",Calculations!AM76)))</f>
        <v/>
      </c>
      <c r="Y27" s="274"/>
      <c r="Z27" s="274"/>
      <c r="AA27" s="274"/>
      <c r="AB27" s="274"/>
      <c r="AC27" s="274"/>
      <c r="AD27" s="274"/>
      <c r="AE27" s="274"/>
    </row>
    <row r="28" spans="1:31" ht="17.25" thickBot="1" x14ac:dyDescent="0.35">
      <c r="A28" s="2">
        <v>10</v>
      </c>
      <c r="B28" s="814"/>
      <c r="C28" s="816"/>
      <c r="D28" s="827"/>
      <c r="E28" s="827"/>
      <c r="F28" s="815"/>
      <c r="G28" s="828"/>
      <c r="H28" s="815"/>
      <c r="I28" s="829"/>
      <c r="J28" s="1"/>
      <c r="K28" s="837"/>
      <c r="L28" s="878"/>
      <c r="M28" s="881" t="str">
        <f t="shared" si="0"/>
        <v/>
      </c>
      <c r="O28" s="851"/>
      <c r="P28" s="852"/>
      <c r="Q28" s="852"/>
      <c r="R28" s="853"/>
      <c r="S28" s="853"/>
      <c r="T28" s="853"/>
      <c r="U28" s="854"/>
      <c r="W28" s="858" t="str">
        <f>IF(OR(B28="",O28="",P28="",Q28="",S28=""),"",IF(AND(P28&lt;&gt;'HVAC References'!$G$288,U28=""),"Missing AFUE",IF(AND(P28='HVAC References'!$G$288,T28=""),"Missing HSPF",Calculations!AM77)))</f>
        <v/>
      </c>
      <c r="Y28" s="274"/>
      <c r="Z28" s="274"/>
      <c r="AA28" s="274"/>
      <c r="AB28" s="274"/>
      <c r="AC28" s="274"/>
      <c r="AD28" s="274"/>
      <c r="AE28" s="274"/>
    </row>
    <row r="29" spans="1:31" x14ac:dyDescent="0.3">
      <c r="B29" s="1"/>
      <c r="C29" s="1"/>
      <c r="D29" s="1"/>
      <c r="E29" s="1"/>
      <c r="F29" s="1"/>
      <c r="G29" s="1"/>
      <c r="H29" s="1"/>
      <c r="I29" s="1"/>
      <c r="J29" s="1"/>
      <c r="W29" s="301"/>
      <c r="X29" s="274"/>
      <c r="Y29" s="274"/>
      <c r="Z29" s="274"/>
      <c r="AA29" s="274"/>
      <c r="AB29" s="274"/>
      <c r="AC29" s="274"/>
      <c r="AD29" s="274"/>
    </row>
    <row r="30" spans="1:31" ht="18.75" x14ac:dyDescent="0.3">
      <c r="B30" s="1246" t="s">
        <v>1160</v>
      </c>
      <c r="C30" s="1246"/>
      <c r="D30" s="1246"/>
      <c r="E30" s="1246"/>
      <c r="F30" s="1246"/>
      <c r="G30" s="1246"/>
      <c r="H30" s="1246"/>
      <c r="I30" s="1246"/>
      <c r="J30" s="1246"/>
      <c r="K30" s="1246"/>
      <c r="L30" s="1246"/>
      <c r="M30" s="1246"/>
      <c r="N30" s="1246"/>
      <c r="O30" s="1246"/>
      <c r="P30" s="1246"/>
      <c r="Q30" s="1246"/>
      <c r="R30" s="1246"/>
      <c r="S30" s="1246"/>
      <c r="T30" s="1246"/>
      <c r="U30" s="1246"/>
      <c r="V30" s="1246"/>
      <c r="W30" s="1246"/>
    </row>
    <row r="31" spans="1:31" ht="17.25" thickBot="1" x14ac:dyDescent="0.35">
      <c r="B31" s="1"/>
      <c r="C31" s="1"/>
      <c r="D31" s="1"/>
      <c r="E31" s="1"/>
      <c r="F31" s="1"/>
      <c r="G31" s="1"/>
      <c r="H31" s="1"/>
      <c r="I31" s="1"/>
      <c r="J31" s="1"/>
      <c r="W31" s="274"/>
      <c r="X31" s="274"/>
      <c r="Y31" s="274"/>
      <c r="Z31" s="274"/>
      <c r="AA31" s="274"/>
      <c r="AB31" s="274"/>
      <c r="AC31" s="274"/>
      <c r="AD31" s="274"/>
    </row>
    <row r="32" spans="1:31" x14ac:dyDescent="0.3">
      <c r="B32" s="1254" t="s">
        <v>22</v>
      </c>
      <c r="C32" s="1255"/>
      <c r="D32" s="1255"/>
      <c r="E32" s="1255"/>
      <c r="F32" s="1255"/>
      <c r="G32" s="1255"/>
      <c r="H32" s="1256"/>
      <c r="I32"/>
      <c r="J32" s="1"/>
      <c r="K32" s="1238" t="s">
        <v>305</v>
      </c>
      <c r="L32" s="1239"/>
      <c r="M32" s="1240"/>
      <c r="O32" s="1247" t="s">
        <v>21</v>
      </c>
      <c r="P32" s="1248"/>
      <c r="Q32" s="1248"/>
      <c r="R32" s="1249"/>
      <c r="T32" s="855" t="s">
        <v>1191</v>
      </c>
      <c r="U32" s="274"/>
      <c r="W32" s="274"/>
      <c r="X32" s="274"/>
      <c r="Y32" s="274"/>
      <c r="Z32" s="274"/>
      <c r="AA32" s="274"/>
      <c r="AB32" s="274"/>
      <c r="AC32" s="274"/>
      <c r="AD32" s="274"/>
    </row>
    <row r="33" spans="1:30" ht="47.45" customHeight="1" thickBot="1" x14ac:dyDescent="0.35">
      <c r="B33" s="818" t="s">
        <v>1172</v>
      </c>
      <c r="C33" s="819" t="s">
        <v>1188</v>
      </c>
      <c r="D33" s="819" t="s">
        <v>1380</v>
      </c>
      <c r="E33" s="819" t="s">
        <v>1382</v>
      </c>
      <c r="F33" s="819" t="s">
        <v>1171</v>
      </c>
      <c r="G33" s="819" t="s">
        <v>411</v>
      </c>
      <c r="H33" s="820" t="s">
        <v>1383</v>
      </c>
      <c r="I33"/>
      <c r="J33" s="1"/>
      <c r="K33" s="838" t="s">
        <v>306</v>
      </c>
      <c r="L33" s="839" t="s">
        <v>307</v>
      </c>
      <c r="M33" s="840" t="s">
        <v>405</v>
      </c>
      <c r="O33" s="863" t="s">
        <v>1173</v>
      </c>
      <c r="P33" s="864" t="s">
        <v>1380</v>
      </c>
      <c r="Q33" s="865" t="s">
        <v>1382</v>
      </c>
      <c r="R33" s="866" t="s">
        <v>1171</v>
      </c>
      <c r="T33" s="861" t="s">
        <v>19</v>
      </c>
      <c r="W33" s="274"/>
      <c r="X33" s="274"/>
      <c r="Y33" s="274"/>
      <c r="Z33" s="274"/>
      <c r="AA33" s="274"/>
      <c r="AB33" s="274"/>
      <c r="AC33" s="274"/>
      <c r="AD33" s="274"/>
    </row>
    <row r="34" spans="1:30" s="5" customFormat="1" ht="17.25" thickBot="1" x14ac:dyDescent="0.35">
      <c r="A34" s="296" t="s">
        <v>1204</v>
      </c>
      <c r="B34" s="896" t="s">
        <v>1179</v>
      </c>
      <c r="C34" s="898" t="s">
        <v>1157</v>
      </c>
      <c r="D34" s="899">
        <v>50</v>
      </c>
      <c r="E34" s="898">
        <v>26.5</v>
      </c>
      <c r="F34" s="898">
        <v>2</v>
      </c>
      <c r="G34" s="899">
        <v>4000</v>
      </c>
      <c r="H34" s="900" t="s">
        <v>1386</v>
      </c>
      <c r="I34"/>
      <c r="J34" s="294"/>
      <c r="K34" s="893">
        <v>2500</v>
      </c>
      <c r="L34" s="894">
        <v>1000</v>
      </c>
      <c r="M34" s="895">
        <f>IF(OR(K34="",L34=""),"",F34*(K34+L34))</f>
        <v>7000</v>
      </c>
      <c r="O34" s="896" t="s">
        <v>1851</v>
      </c>
      <c r="P34" s="899">
        <v>10</v>
      </c>
      <c r="Q34" s="901"/>
      <c r="R34" s="902">
        <v>10</v>
      </c>
      <c r="T34" s="903">
        <v>800</v>
      </c>
      <c r="W34" s="295"/>
      <c r="X34" s="295"/>
      <c r="Y34" s="295"/>
      <c r="Z34" s="295"/>
      <c r="AA34" s="295"/>
      <c r="AB34" s="295"/>
      <c r="AC34" s="295"/>
      <c r="AD34" s="295"/>
    </row>
    <row r="35" spans="1:30" x14ac:dyDescent="0.3">
      <c r="A35" s="2">
        <v>1</v>
      </c>
      <c r="B35" s="821"/>
      <c r="C35" s="822"/>
      <c r="D35" s="823"/>
      <c r="E35" s="822"/>
      <c r="F35" s="822"/>
      <c r="G35" s="824"/>
      <c r="H35" s="825"/>
      <c r="I35"/>
      <c r="J35" s="1"/>
      <c r="K35" s="875"/>
      <c r="L35" s="876"/>
      <c r="M35" s="904" t="str">
        <f t="shared" ref="M35:M44" si="1">IF(OR(K35="",L35=""),"",F35*(K35+L35))</f>
        <v/>
      </c>
      <c r="O35" s="847"/>
      <c r="P35" s="862"/>
      <c r="Q35" s="846"/>
      <c r="R35" s="867"/>
      <c r="T35" s="860" t="str">
        <f>IF(OR(B35="",O35=""),"",Calculations!AD84)</f>
        <v/>
      </c>
      <c r="W35" s="274"/>
      <c r="X35" s="274"/>
      <c r="Y35" s="274"/>
      <c r="Z35" s="274"/>
      <c r="AA35" s="274"/>
      <c r="AB35" s="274"/>
      <c r="AC35" s="274"/>
      <c r="AD35" s="274"/>
    </row>
    <row r="36" spans="1:30" x14ac:dyDescent="0.3">
      <c r="A36" s="2">
        <v>2</v>
      </c>
      <c r="B36" s="812"/>
      <c r="C36" s="302"/>
      <c r="D36" s="306"/>
      <c r="E36" s="302"/>
      <c r="F36" s="302"/>
      <c r="G36" s="306"/>
      <c r="H36" s="813"/>
      <c r="I36"/>
      <c r="J36" s="1"/>
      <c r="K36" s="836"/>
      <c r="L36" s="877"/>
      <c r="M36" s="905" t="str">
        <f t="shared" si="1"/>
        <v/>
      </c>
      <c r="O36" s="849"/>
      <c r="P36" s="306"/>
      <c r="Q36" s="305"/>
      <c r="R36" s="868"/>
      <c r="T36" s="857" t="str">
        <f>IF(B36="","",Calculations!AD85)</f>
        <v/>
      </c>
      <c r="W36" s="274"/>
      <c r="X36" s="274"/>
      <c r="Y36" s="274"/>
      <c r="Z36" s="274"/>
      <c r="AA36" s="274"/>
      <c r="AB36" s="274"/>
      <c r="AC36" s="274"/>
      <c r="AD36" s="274"/>
    </row>
    <row r="37" spans="1:30" x14ac:dyDescent="0.3">
      <c r="A37" s="2">
        <v>3</v>
      </c>
      <c r="B37" s="812"/>
      <c r="C37" s="302"/>
      <c r="D37" s="306"/>
      <c r="E37" s="302"/>
      <c r="F37" s="302"/>
      <c r="G37" s="306"/>
      <c r="H37" s="813"/>
      <c r="I37"/>
      <c r="J37" s="1"/>
      <c r="K37" s="836"/>
      <c r="L37" s="877"/>
      <c r="M37" s="905" t="str">
        <f t="shared" si="1"/>
        <v/>
      </c>
      <c r="O37" s="849"/>
      <c r="P37" s="306"/>
      <c r="Q37" s="305"/>
      <c r="R37" s="868"/>
      <c r="T37" s="857" t="str">
        <f>IF(B37="","",Calculations!AD86)</f>
        <v/>
      </c>
      <c r="W37" s="274"/>
      <c r="X37" s="274"/>
      <c r="Y37" s="274"/>
      <c r="Z37" s="274"/>
      <c r="AA37" s="274"/>
      <c r="AB37" s="274"/>
      <c r="AC37" s="274"/>
      <c r="AD37" s="274"/>
    </row>
    <row r="38" spans="1:30" x14ac:dyDescent="0.3">
      <c r="A38" s="2">
        <v>4</v>
      </c>
      <c r="B38" s="812"/>
      <c r="C38" s="302"/>
      <c r="D38" s="306"/>
      <c r="E38" s="302"/>
      <c r="F38" s="302"/>
      <c r="G38" s="306"/>
      <c r="H38" s="813"/>
      <c r="I38"/>
      <c r="J38" s="1"/>
      <c r="K38" s="836"/>
      <c r="L38" s="877"/>
      <c r="M38" s="905" t="str">
        <f t="shared" si="1"/>
        <v/>
      </c>
      <c r="O38" s="849"/>
      <c r="P38" s="306"/>
      <c r="Q38" s="305"/>
      <c r="R38" s="868"/>
      <c r="T38" s="857" t="str">
        <f>IF(B38="","",Calculations!AD87)</f>
        <v/>
      </c>
      <c r="W38" s="274"/>
      <c r="X38" s="274"/>
      <c r="Y38" s="274"/>
      <c r="Z38" s="274"/>
      <c r="AA38" s="274"/>
      <c r="AB38" s="274"/>
      <c r="AC38" s="274"/>
      <c r="AD38" s="274"/>
    </row>
    <row r="39" spans="1:30" x14ac:dyDescent="0.3">
      <c r="A39" s="2">
        <v>5</v>
      </c>
      <c r="B39" s="812"/>
      <c r="C39" s="302"/>
      <c r="D39" s="306"/>
      <c r="E39" s="302"/>
      <c r="F39" s="302"/>
      <c r="G39" s="306"/>
      <c r="H39" s="813"/>
      <c r="I39"/>
      <c r="J39" s="1"/>
      <c r="K39" s="836"/>
      <c r="L39" s="877"/>
      <c r="M39" s="905" t="str">
        <f t="shared" si="1"/>
        <v/>
      </c>
      <c r="O39" s="849"/>
      <c r="P39" s="306"/>
      <c r="Q39" s="305"/>
      <c r="R39" s="868"/>
      <c r="T39" s="857" t="str">
        <f>IF(B39="","",Calculations!AD88)</f>
        <v/>
      </c>
      <c r="W39" s="274"/>
      <c r="X39" s="274"/>
      <c r="Y39" s="274"/>
      <c r="Z39" s="274"/>
      <c r="AA39" s="274"/>
      <c r="AB39" s="274"/>
      <c r="AC39" s="274"/>
      <c r="AD39" s="274"/>
    </row>
    <row r="40" spans="1:30" x14ac:dyDescent="0.3">
      <c r="A40" s="2">
        <v>6</v>
      </c>
      <c r="B40" s="812"/>
      <c r="C40" s="302"/>
      <c r="D40" s="306"/>
      <c r="E40" s="302"/>
      <c r="F40" s="302"/>
      <c r="G40" s="306"/>
      <c r="H40" s="813"/>
      <c r="I40"/>
      <c r="J40" s="1"/>
      <c r="K40" s="836"/>
      <c r="L40" s="877"/>
      <c r="M40" s="905" t="str">
        <f t="shared" si="1"/>
        <v/>
      </c>
      <c r="O40" s="849"/>
      <c r="P40" s="306"/>
      <c r="Q40" s="305"/>
      <c r="R40" s="868"/>
      <c r="T40" s="857" t="str">
        <f>IF(B40="","",Calculations!AD89)</f>
        <v/>
      </c>
      <c r="W40" s="274"/>
      <c r="X40" s="274"/>
      <c r="Y40" s="274"/>
      <c r="Z40" s="274"/>
      <c r="AA40" s="274"/>
      <c r="AB40" s="274"/>
      <c r="AC40" s="274"/>
      <c r="AD40" s="274"/>
    </row>
    <row r="41" spans="1:30" x14ac:dyDescent="0.3">
      <c r="A41" s="2">
        <v>7</v>
      </c>
      <c r="B41" s="812"/>
      <c r="C41" s="302"/>
      <c r="D41" s="306"/>
      <c r="E41" s="302"/>
      <c r="F41" s="302"/>
      <c r="G41" s="306"/>
      <c r="H41" s="813"/>
      <c r="I41"/>
      <c r="J41" s="1"/>
      <c r="K41" s="836"/>
      <c r="L41" s="877"/>
      <c r="M41" s="905" t="str">
        <f t="shared" si="1"/>
        <v/>
      </c>
      <c r="O41" s="849"/>
      <c r="P41" s="306"/>
      <c r="Q41" s="305"/>
      <c r="R41" s="868"/>
      <c r="T41" s="857" t="str">
        <f>IF(B41="","",Calculations!AD90)</f>
        <v/>
      </c>
      <c r="W41" s="274"/>
      <c r="X41" s="274"/>
      <c r="Y41" s="274"/>
      <c r="Z41" s="274"/>
      <c r="AA41" s="274"/>
      <c r="AB41" s="274"/>
      <c r="AC41" s="274"/>
      <c r="AD41" s="274"/>
    </row>
    <row r="42" spans="1:30" x14ac:dyDescent="0.3">
      <c r="A42" s="2">
        <v>8</v>
      </c>
      <c r="B42" s="812"/>
      <c r="C42" s="302"/>
      <c r="D42" s="306"/>
      <c r="E42" s="302"/>
      <c r="F42" s="302"/>
      <c r="G42" s="306"/>
      <c r="H42" s="813"/>
      <c r="I42"/>
      <c r="J42" s="1"/>
      <c r="K42" s="836"/>
      <c r="L42" s="877"/>
      <c r="M42" s="905" t="str">
        <f t="shared" si="1"/>
        <v/>
      </c>
      <c r="O42" s="849"/>
      <c r="P42" s="306"/>
      <c r="Q42" s="305"/>
      <c r="R42" s="868"/>
      <c r="T42" s="857" t="str">
        <f>IF(B42="","",Calculations!AD91)</f>
        <v/>
      </c>
      <c r="W42" s="274"/>
      <c r="X42" s="274"/>
      <c r="Y42" s="274"/>
      <c r="Z42" s="274"/>
      <c r="AA42" s="274"/>
      <c r="AB42" s="274"/>
      <c r="AC42" s="274"/>
      <c r="AD42" s="274"/>
    </row>
    <row r="43" spans="1:30" x14ac:dyDescent="0.3">
      <c r="A43" s="2">
        <v>9</v>
      </c>
      <c r="B43" s="812"/>
      <c r="C43" s="302"/>
      <c r="D43" s="306"/>
      <c r="E43" s="302"/>
      <c r="F43" s="302"/>
      <c r="G43" s="306"/>
      <c r="H43" s="813"/>
      <c r="I43"/>
      <c r="J43" s="1"/>
      <c r="K43" s="836"/>
      <c r="L43" s="877"/>
      <c r="M43" s="905" t="str">
        <f t="shared" si="1"/>
        <v/>
      </c>
      <c r="O43" s="849"/>
      <c r="P43" s="306"/>
      <c r="Q43" s="305"/>
      <c r="R43" s="868"/>
      <c r="T43" s="857" t="str">
        <f>IF(B43="","",Calculations!AD92)</f>
        <v/>
      </c>
      <c r="W43" s="274"/>
      <c r="X43" s="274"/>
      <c r="Y43" s="274"/>
      <c r="Z43" s="274"/>
      <c r="AA43" s="274"/>
      <c r="AB43" s="274"/>
      <c r="AC43" s="274"/>
      <c r="AD43" s="274"/>
    </row>
    <row r="44" spans="1:30" ht="17.25" thickBot="1" x14ac:dyDescent="0.35">
      <c r="A44" s="2">
        <v>10</v>
      </c>
      <c r="B44" s="814"/>
      <c r="C44" s="815"/>
      <c r="D44" s="816"/>
      <c r="E44" s="815"/>
      <c r="F44" s="815"/>
      <c r="G44" s="816"/>
      <c r="H44" s="817"/>
      <c r="I44"/>
      <c r="J44" s="1"/>
      <c r="K44" s="837"/>
      <c r="L44" s="878"/>
      <c r="M44" s="906" t="str">
        <f t="shared" si="1"/>
        <v/>
      </c>
      <c r="O44" s="851"/>
      <c r="P44" s="816"/>
      <c r="Q44" s="853"/>
      <c r="R44" s="869"/>
      <c r="T44" s="858" t="str">
        <f>IF(B44="","",Calculations!AD93)</f>
        <v/>
      </c>
      <c r="W44" s="274"/>
      <c r="X44" s="274"/>
      <c r="Y44" s="274"/>
      <c r="Z44" s="274"/>
      <c r="AA44" s="274"/>
      <c r="AB44" s="274"/>
      <c r="AC44" s="274"/>
      <c r="AD44" s="274"/>
    </row>
    <row r="46" spans="1:30" ht="18.75" x14ac:dyDescent="0.3">
      <c r="B46" s="1246" t="s">
        <v>1864</v>
      </c>
      <c r="C46" s="1246"/>
      <c r="D46" s="1246"/>
      <c r="E46" s="1246"/>
      <c r="F46" s="1246"/>
      <c r="G46" s="1246"/>
      <c r="H46" s="1246"/>
      <c r="I46" s="1246"/>
      <c r="J46" s="1246"/>
      <c r="K46" s="1246"/>
      <c r="L46" s="1246"/>
      <c r="M46" s="1246"/>
      <c r="N46" s="1246"/>
      <c r="O46" s="1246"/>
      <c r="P46" s="1246"/>
      <c r="Q46" s="1246"/>
      <c r="R46" s="1246"/>
      <c r="S46" s="1246"/>
      <c r="T46" s="1246"/>
      <c r="U46" s="1246"/>
      <c r="V46" s="1246"/>
      <c r="W46" s="1246"/>
    </row>
    <row r="47" spans="1:30" ht="18.75" thickBot="1" x14ac:dyDescent="0.35">
      <c r="B47" s="763"/>
      <c r="C47" s="763"/>
    </row>
    <row r="48" spans="1:30" x14ac:dyDescent="0.3">
      <c r="B48" s="1241" t="s">
        <v>22</v>
      </c>
      <c r="C48" s="1242"/>
      <c r="E48" s="1238" t="s">
        <v>305</v>
      </c>
      <c r="F48" s="1239"/>
      <c r="G48" s="1240"/>
      <c r="I48" s="855" t="s">
        <v>1191</v>
      </c>
      <c r="R48" s="357"/>
    </row>
    <row r="49" spans="1:18" ht="47.45" customHeight="1" thickBot="1" x14ac:dyDescent="0.35">
      <c r="B49" s="818" t="s">
        <v>16</v>
      </c>
      <c r="C49" s="830" t="s">
        <v>1859</v>
      </c>
      <c r="E49" s="834" t="s">
        <v>306</v>
      </c>
      <c r="F49" s="337" t="s">
        <v>307</v>
      </c>
      <c r="G49" s="835" t="s">
        <v>405</v>
      </c>
      <c r="I49" s="856" t="s">
        <v>19</v>
      </c>
      <c r="R49" s="357"/>
    </row>
    <row r="50" spans="1:18" ht="17.25" thickBot="1" x14ac:dyDescent="0.35">
      <c r="B50" s="896">
        <v>1</v>
      </c>
      <c r="C50" s="897">
        <v>2</v>
      </c>
      <c r="E50" s="893">
        <v>1200</v>
      </c>
      <c r="F50" s="894">
        <v>500</v>
      </c>
      <c r="G50" s="895">
        <f>SUM(E50:F50)</f>
        <v>1700</v>
      </c>
      <c r="I50" s="892">
        <v>560</v>
      </c>
      <c r="R50" s="357"/>
    </row>
    <row r="51" spans="1:18" x14ac:dyDescent="0.3">
      <c r="A51" s="2">
        <v>1</v>
      </c>
      <c r="B51" s="821"/>
      <c r="C51" s="833"/>
      <c r="E51" s="884"/>
      <c r="F51" s="885"/>
      <c r="G51" s="890">
        <f t="shared" ref="G51:G55" si="2">SUM(E51:F51)</f>
        <v>0</v>
      </c>
      <c r="I51" s="1101" t="str">
        <f>IF(OR(B51="",C51=""),"",IF(OR(E51="",F51=""),"Missing Cost Info",Calculations!W99))</f>
        <v/>
      </c>
      <c r="R51" s="357"/>
    </row>
    <row r="52" spans="1:18" x14ac:dyDescent="0.3">
      <c r="A52" s="2">
        <v>2</v>
      </c>
      <c r="B52" s="812"/>
      <c r="C52" s="826"/>
      <c r="E52" s="886"/>
      <c r="F52" s="887"/>
      <c r="G52" s="890">
        <f t="shared" si="2"/>
        <v>0</v>
      </c>
      <c r="I52" s="1101" t="str">
        <f>IF(OR(B52="",C52=""),"",IF(OR(E52="",F52=""),"Missing Cost Info",Calculations!W100))</f>
        <v/>
      </c>
      <c r="Q52" s="357"/>
    </row>
    <row r="53" spans="1:18" x14ac:dyDescent="0.3">
      <c r="A53" s="2">
        <v>3</v>
      </c>
      <c r="B53" s="812"/>
      <c r="C53" s="826"/>
      <c r="E53" s="886"/>
      <c r="F53" s="887"/>
      <c r="G53" s="890">
        <f t="shared" si="2"/>
        <v>0</v>
      </c>
      <c r="I53" s="1101" t="str">
        <f>IF(OR(B53="",C53=""),"",IF(OR(E53="",F53=""),"Missing Cost Info",Calculations!W101))</f>
        <v/>
      </c>
    </row>
    <row r="54" spans="1:18" x14ac:dyDescent="0.3">
      <c r="A54" s="2">
        <v>4</v>
      </c>
      <c r="B54" s="812"/>
      <c r="C54" s="826"/>
      <c r="E54" s="886"/>
      <c r="F54" s="887"/>
      <c r="G54" s="890">
        <f t="shared" si="2"/>
        <v>0</v>
      </c>
      <c r="I54" s="1101" t="str">
        <f>IF(OR(B54="",C54=""),"",IF(OR(E54="",F54=""),"Missing Cost Info",Calculations!W102))</f>
        <v/>
      </c>
      <c r="Q54" s="357"/>
    </row>
    <row r="55" spans="1:18" ht="17.25" thickBot="1" x14ac:dyDescent="0.35">
      <c r="A55" s="2">
        <v>5</v>
      </c>
      <c r="B55" s="814"/>
      <c r="C55" s="829"/>
      <c r="E55" s="888"/>
      <c r="F55" s="889"/>
      <c r="G55" s="891">
        <f t="shared" si="2"/>
        <v>0</v>
      </c>
      <c r="I55" s="1102" t="str">
        <f>IF(OR(B55="",C55=""),"",IF(OR(E55="",F55=""),"Missing Cost Info",Calculations!W103))</f>
        <v/>
      </c>
      <c r="Q55" s="357"/>
    </row>
    <row r="56" spans="1:18" x14ac:dyDescent="0.3">
      <c r="Q56" s="357"/>
    </row>
    <row r="57" spans="1:18" x14ac:dyDescent="0.3">
      <c r="Q57" s="357"/>
    </row>
    <row r="58" spans="1:18" x14ac:dyDescent="0.3">
      <c r="Q58" s="357"/>
    </row>
    <row r="59" spans="1:18" x14ac:dyDescent="0.3">
      <c r="Q59" s="357"/>
    </row>
    <row r="60" spans="1:18" x14ac:dyDescent="0.3">
      <c r="Q60" s="357"/>
    </row>
    <row r="61" spans="1:18" x14ac:dyDescent="0.3">
      <c r="Q61" s="357"/>
    </row>
    <row r="62" spans="1:18" x14ac:dyDescent="0.3">
      <c r="Q62" s="357"/>
    </row>
    <row r="63" spans="1:18" x14ac:dyDescent="0.3">
      <c r="Q63" s="357"/>
    </row>
    <row r="64" spans="1:18" x14ac:dyDescent="0.3">
      <c r="Q64" s="357"/>
    </row>
    <row r="65" spans="1:33" x14ac:dyDescent="0.3">
      <c r="Q65" s="357"/>
    </row>
    <row r="66" spans="1:33" x14ac:dyDescent="0.3">
      <c r="Q66" s="357"/>
    </row>
    <row r="67" spans="1:33" x14ac:dyDescent="0.3">
      <c r="B67" s="80"/>
      <c r="C67" s="80"/>
      <c r="D67" s="80"/>
      <c r="E67" s="80"/>
      <c r="F67" s="80"/>
      <c r="G67" s="80"/>
      <c r="H67" s="80"/>
      <c r="I67" s="80"/>
      <c r="J67" s="80"/>
      <c r="K67" s="80"/>
      <c r="L67" s="80"/>
      <c r="M67" s="80"/>
      <c r="N67" s="80"/>
      <c r="O67" s="80"/>
      <c r="P67" s="80"/>
      <c r="Q67" s="91"/>
      <c r="R67" s="80"/>
      <c r="S67" s="80"/>
      <c r="T67" s="80"/>
      <c r="U67" s="80"/>
      <c r="V67" s="80"/>
      <c r="W67" s="80"/>
      <c r="X67" s="80"/>
      <c r="Y67" s="80"/>
      <c r="Z67" s="80"/>
      <c r="AA67" s="80"/>
      <c r="AB67" s="80"/>
      <c r="AC67" s="80"/>
      <c r="AD67" s="80"/>
      <c r="AE67" s="80"/>
      <c r="AF67" s="80"/>
      <c r="AG67" s="80"/>
    </row>
    <row r="68" spans="1:33" x14ac:dyDescent="0.3">
      <c r="A68" s="87"/>
      <c r="B68" s="128" t="s">
        <v>426</v>
      </c>
      <c r="C68" s="129" t="str">
        <f>Development!$B$6&amp;"_"&amp;Development!$B$5</f>
        <v>4.1.25_2.0</v>
      </c>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8" t="s">
        <v>427</v>
      </c>
      <c r="AG68" s="131" t="str">
        <f>Development!B6</f>
        <v>4.1.25</v>
      </c>
    </row>
  </sheetData>
  <sheetProtection algorithmName="SHA-512" hashValue="YpPuqZA06PdGUAFUQVdNhOd6KEU5TBzpF5PVCkLjQyZiKLe3Js/c2H+e02YO+xOqeTqz5CJDkXjE+cHc1+7f8A==" saltValue="Yq/6SeQqYvOdNISAHt0DTw==" spinCount="100000" sheet="1" objects="1" scenarios="1"/>
  <dataConsolidate link="1"/>
  <mergeCells count="25">
    <mergeCell ref="B1:M1"/>
    <mergeCell ref="B2:M2"/>
    <mergeCell ref="B32:H32"/>
    <mergeCell ref="C8:D8"/>
    <mergeCell ref="K32:M32"/>
    <mergeCell ref="F7:G7"/>
    <mergeCell ref="F8:G8"/>
    <mergeCell ref="F9:G9"/>
    <mergeCell ref="F10:G10"/>
    <mergeCell ref="F11:G11"/>
    <mergeCell ref="U4:V5"/>
    <mergeCell ref="C7:D7"/>
    <mergeCell ref="C12:D12"/>
    <mergeCell ref="C9:D9"/>
    <mergeCell ref="C10:D10"/>
    <mergeCell ref="C11:D11"/>
    <mergeCell ref="E48:G48"/>
    <mergeCell ref="B48:C48"/>
    <mergeCell ref="B16:I16"/>
    <mergeCell ref="B14:W14"/>
    <mergeCell ref="B30:W30"/>
    <mergeCell ref="B46:W46"/>
    <mergeCell ref="O32:R32"/>
    <mergeCell ref="O16:U16"/>
    <mergeCell ref="K16:M16"/>
  </mergeCells>
  <phoneticPr fontId="88" type="noConversion"/>
  <conditionalFormatting sqref="U4 AH5:AH6">
    <cfRule type="expression" dxfId="6" priority="24" stopIfTrue="1">
      <formula>$AI$5="Total Expected Rebate has been capped at 70% of Total Estimated Cost"</formula>
    </cfRule>
  </conditionalFormatting>
  <conditionalFormatting sqref="U4">
    <cfRule type="expression" dxfId="5" priority="25" stopIfTrue="1">
      <formula>$AJ$10="Ineligible"</formula>
    </cfRule>
  </conditionalFormatting>
  <dataValidations count="3">
    <dataValidation type="list" allowBlank="1" showInputMessage="1" showErrorMessage="1" sqref="F7" xr:uid="{EA3F7B0D-A652-4E6F-949A-6724DD6D9A35}">
      <formula1>BuildingType_List</formula1>
    </dataValidation>
    <dataValidation type="whole" allowBlank="1" showInputMessage="1" showErrorMessage="1" sqref="C19:C28" xr:uid="{B9B4568E-88A7-434A-B577-AC51A2A35942}">
      <formula1>1</formula1>
      <formula2>1000000</formula2>
    </dataValidation>
    <dataValidation type="list" allowBlank="1" showInputMessage="1" showErrorMessage="1" sqref="O34 B34:C34 O18:Q18" xr:uid="{93DDE3C2-BA30-4CC7-8E0E-951E5B840C3A}">
      <formula1>#REF!</formula1>
    </dataValidation>
  </dataValidations>
  <pageMargins left="0.7" right="0.7" top="0.75" bottom="0.75" header="0.3" footer="0.3"/>
  <pageSetup paperSize="5" scale="33"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8370" r:id="rId4" name="Group Box 2">
              <controlPr defaultSize="0" autoFill="0" autoPict="0">
                <anchor moveWithCells="1">
                  <from>
                    <xdr:col>21</xdr:col>
                    <xdr:colOff>0</xdr:colOff>
                    <xdr:row>4</xdr:row>
                    <xdr:rowOff>657225</xdr:rowOff>
                  </from>
                  <to>
                    <xdr:col>24</xdr:col>
                    <xdr:colOff>447675</xdr:colOff>
                    <xdr:row>10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543553F9-F3F0-4DEB-8B77-FA70D329F2E4}">
          <x14:formula1>
            <xm:f>'HVAC References'!$H$348:$H$349</xm:f>
          </x14:formula1>
          <xm:sqref>H35:H44</xm:sqref>
        </x14:dataValidation>
        <x14:dataValidation type="list" allowBlank="1" showInputMessage="1" showErrorMessage="1" xr:uid="{5BEB7ACC-8759-41C9-BED1-2A05AAC5D164}">
          <x14:formula1>
            <xm:f>'HVAC References'!$F$348:$F$356</xm:f>
          </x14:formula1>
          <xm:sqref>B35:B44</xm:sqref>
        </x14:dataValidation>
        <x14:dataValidation type="list" allowBlank="1" showInputMessage="1" showErrorMessage="1" xr:uid="{710929B9-32C1-4A81-8891-36C01DE2C0FB}">
          <x14:formula1>
            <xm:f>'HVAC References'!$G$348:$G$349</xm:f>
          </x14:formula1>
          <xm:sqref>C35:C44</xm:sqref>
        </x14:dataValidation>
        <x14:dataValidation type="list" allowBlank="1" showInputMessage="1" showErrorMessage="1" xr:uid="{89BD3C58-9C03-4B35-818D-04164A01F84B}">
          <x14:formula1>
            <xm:f>'HVAC References'!$F$342:$F$345</xm:f>
          </x14:formula1>
          <xm:sqref>O35:O44</xm:sqref>
        </x14:dataValidation>
        <x14:dataValidation type="list" allowBlank="1" showInputMessage="1" showErrorMessage="1" xr:uid="{1B015D99-4D18-4305-A0F2-2835DA519E94}">
          <x14:formula1>
            <xm:f>'HVAC References'!$F$288:$F$290</xm:f>
          </x14:formula1>
          <xm:sqref>O19:O28</xm:sqref>
        </x14:dataValidation>
        <x14:dataValidation type="list" allowBlank="1" showInputMessage="1" showErrorMessage="1" xr:uid="{F26829F0-A3E5-40EE-A35B-471CC31D7EF8}">
          <x14:formula1>
            <xm:f>'HVAC References'!$G$288:$G$293</xm:f>
          </x14:formula1>
          <xm:sqref>P19:P28</xm:sqref>
        </x14:dataValidation>
        <x14:dataValidation type="list" allowBlank="1" showInputMessage="1" showErrorMessage="1" xr:uid="{BE734DDC-06A6-46D8-8A06-FA495FEA956F}">
          <x14:formula1>
            <xm:f>'HVAC References'!$B$42:$B$45</xm:f>
          </x14:formula1>
          <xm:sqref>Q19:Q28</xm:sqref>
        </x14:dataValidation>
        <x14:dataValidation type="list" allowBlank="1" showInputMessage="1" showErrorMessage="1" xr:uid="{7EFEFDCC-FDE1-42F7-8EDF-F0E045BFE6CD}">
          <x14:formula1>
            <xm:f>'HVAC References'!$B$269:$B$270</xm:f>
          </x14:formula1>
          <xm:sqref>B19:B28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IPLabel xmlns="46183eef-e5b6-4449-b443-53ec3f5c91f4">
      <Value xmlns="46183eef-e5b6-4449-b443-53ec3f5c91f4">Unrestricted</Value>
    </SIPLabel>
    <SIPLabel_OCI xmlns="46183eef-e5b6-4449-b443-53ec3f5c91f4" xsi:nil="true"/>
    <SIPLabel_Specialty xmlns="46183eef-e5b6-4449-b443-53ec3f5c91f4"/>
    <SIPLabel_ECICountry xmlns="46183eef-e5b6-4449-b443-53ec3f5c91f4"/>
    <SIPLabel_TPPI xmlns="46183eef-e5b6-4449-b443-53ec3f5c91f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4E4E7B18C43504EA69353E1CE344991" ma:contentTypeVersion="8" ma:contentTypeDescription="Create a new document." ma:contentTypeScope="" ma:versionID="7a26021ff758a5b82f1640e90da6cb55">
  <xsd:schema xmlns:xsd="http://www.w3.org/2001/XMLSchema" xmlns:xs="http://www.w3.org/2001/XMLSchema" xmlns:p="http://schemas.microsoft.com/office/2006/metadata/properties" xmlns:ns2="46183eef-e5b6-4449-b443-53ec3f5c91f4" targetNamespace="http://schemas.microsoft.com/office/2006/metadata/properties" ma:root="true" ma:fieldsID="c9e9b716727f7648ff7027e4aed31fa2" ns2:_="">
    <xsd:import namespace="46183eef-e5b6-4449-b443-53ec3f5c91f4"/>
    <xsd:element name="properties">
      <xsd:complexType>
        <xsd:sequence>
          <xsd:element name="documentManagement">
            <xsd:complexType>
              <xsd:all>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Label" ma:index="8"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9"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0" nillable="true" ma:displayName="Organizational Conflict of Interest" ma:internalName="SIPLabel_OCI">
      <xsd:simpleType>
        <xsd:restriction base="dms:Text"/>
      </xsd:simpleType>
    </xsd:element>
    <xsd:element name="SIPLabel_TPPI" ma:index="11" nillable="true" ma:displayName="Third Party" ma:internalName="SIPLabel_TPPI">
      <xsd:simpleType>
        <xsd:restriction base="dms:Text"/>
      </xsd:simpleType>
    </xsd:element>
    <xsd:element name="SIPLabel_Specialty" ma:index="12"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D a t a M a s h u p   x m l n s = " h t t p : / / s c h e m a s . m i c r o s o f t . c o m / D a t a M a s h u p " > A A A A A B M D A A B Q S w M E F A A C A A g A l 2 h 3 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C X a H d 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l 2 h 3 U i i K R 7 g O A A A A E Q A A A B M A H A B G b 3 J t d W x h c y 9 T Z W N 0 a W 9 u M S 5 t I K I Y A C i g F A A A A A A A A A A A A A A A A A A A A A A A A A A A A C t O T S 7 J z M 9 T C I b Q h t Y A U E s B A i 0 A F A A C A A g A l 2 h 3 U i o e J 9 O j A A A A 9 Q A A A B I A A A A A A A A A A A A A A A A A A A A A A E N v b m Z p Z y 9 Q Y W N r Y W d l L n h t b F B L A Q I t A B Q A A g A I A J d o d 1 I P y u m r p A A A A O k A A A A T A A A A A A A A A A A A A A A A A O 8 A A A B b Q 2 9 u d G V u d F 9 U e X B l c 1 0 u e G 1 s U E s B A i 0 A F A A C A A g A l 2 h 3 U i 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B B O T H q 4 A d F G j Z 5 j 8 h 6 x E m Q A A A A A A g A A A A A A A 2 Y A A M A A A A A Q A A A A 2 D P X B e w Y d B L s v X I O 1 o s G v Q A A A A A E g A A A o A A A A B A A A A A 1 5 S b U / G D k D J G v 5 Q F T V K J O U A A A A G U r V d S F k n z G 6 J V Z W s K 9 d X V 5 9 m v 1 E m d w 1 X R U E M U H V B g m W o a e L 0 u q M J f X l Y n J 5 t + j s + n c s g 2 C 3 H J p 4 g n Q l p V M u g + W r t f f t H 8 x A 4 l p k e n P s V o u F A A A A L c w G B T B g U n f e U s + Q 4 T N W t U P L y Z l < / D a t a M a s h u p > 
</file>

<file path=customXml/itemProps1.xml><?xml version="1.0" encoding="utf-8"?>
<ds:datastoreItem xmlns:ds="http://schemas.openxmlformats.org/officeDocument/2006/customXml" ds:itemID="{C38F16A9-41DE-4D62-A0C0-F709F7984CFF}">
  <ds:schemaRefs>
    <ds:schemaRef ds:uri="http://schemas.microsoft.com/office/2006/metadata/longProperties"/>
  </ds:schemaRefs>
</ds:datastoreItem>
</file>

<file path=customXml/itemProps2.xml><?xml version="1.0" encoding="utf-8"?>
<ds:datastoreItem xmlns:ds="http://schemas.openxmlformats.org/officeDocument/2006/customXml" ds:itemID="{4C02E609-F82F-47D6-8EE1-743D78F54851}">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46183eef-e5b6-4449-b443-53ec3f5c91f4"/>
    <ds:schemaRef ds:uri="http://www.w3.org/XML/1998/namespace"/>
    <ds:schemaRef ds:uri="http://purl.org/dc/dcmitype/"/>
  </ds:schemaRefs>
</ds:datastoreItem>
</file>

<file path=customXml/itemProps3.xml><?xml version="1.0" encoding="utf-8"?>
<ds:datastoreItem xmlns:ds="http://schemas.openxmlformats.org/officeDocument/2006/customXml" ds:itemID="{A86975CA-D1B6-454B-86A2-DF7CD31DDD31}">
  <ds:schemaRefs>
    <ds:schemaRef ds:uri="http://schemas.microsoft.com/sharepoint/v3/contenttype/forms"/>
  </ds:schemaRefs>
</ds:datastoreItem>
</file>

<file path=customXml/itemProps4.xml><?xml version="1.0" encoding="utf-8"?>
<ds:datastoreItem xmlns:ds="http://schemas.openxmlformats.org/officeDocument/2006/customXml" ds:itemID="{04826F37-4E15-4ECA-9318-382C277874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54E8F897-5B74-4D4B-B46C-F10F50ED9E0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Customer Information</vt:lpstr>
      <vt:lpstr>Terms and Conditions</vt:lpstr>
      <vt:lpstr>Guidelines</vt:lpstr>
      <vt:lpstr>Required Documents</vt:lpstr>
      <vt:lpstr>Eligibility Table</vt:lpstr>
      <vt:lpstr>HVAC Inputs</vt:lpstr>
      <vt:lpstr>Part Building ccASHP Worksheet</vt:lpstr>
      <vt:lpstr>Ventilation</vt:lpstr>
      <vt:lpstr>Summary</vt:lpstr>
    </vt:vector>
  </TitlesOfParts>
  <Company>Grizli777</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MRush@trccompanies.com</dc:creator>
  <cp:keywords>Unrestricted</cp:keywords>
  <cp:lastModifiedBy>Boyce, Shawn</cp:lastModifiedBy>
  <cp:lastPrinted>2023-11-01T14:19:55Z</cp:lastPrinted>
  <dcterms:created xsi:type="dcterms:W3CDTF">2011-01-25T18:58:20Z</dcterms:created>
  <dcterms:modified xsi:type="dcterms:W3CDTF">2025-03-31T14:54:32Z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ies>
</file>